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EC6812A9-F2B7-4F55-AC93-EFEEF3091FC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7.3 - Pipe P1" sheetId="1" r:id="rId1"/>
    <sheet name="Graph Data" sheetId="3" r:id="rId2"/>
  </sheets>
  <definedNames>
    <definedName name="A">'Example 7.3 - Pipe P1'!$C$23</definedName>
    <definedName name="c_1">'Example 7.3 - Pipe P1'!$C$131</definedName>
    <definedName name="c_2">'Example 7.3 - Pipe P1'!$C$177</definedName>
    <definedName name="CdA">'Example 7.3 - Pipe P1'!$C$47</definedName>
    <definedName name="cp">'Example 7.3 - Pipe P1'!$C$11</definedName>
    <definedName name="D">'Example 7.3 - Pipe P1'!$C$19</definedName>
    <definedName name="f">'Example 7.3 - Pipe P1'!$C$25</definedName>
    <definedName name="Gam">'Example 7.3 - Pipe P1'!$C$5</definedName>
    <definedName name="gc">'Example 7.3 - Pipe P1'!$C$6</definedName>
    <definedName name="h_1">'Example 7.3 - Pipe P1'!$C$139</definedName>
    <definedName name="h_2">'Example 7.3 - Pipe P1'!$C$175</definedName>
    <definedName name="ho_1">'Example 7.3 - Pipe P1'!$C$141</definedName>
    <definedName name="ho_2">'Example 7.3 - Pipe P1'!$C$152</definedName>
    <definedName name="L">'Example 7.3 - Pipe P1'!$C$15</definedName>
    <definedName name="M_1">'Example 7.3 - Pipe P1'!$C$99</definedName>
    <definedName name="M_2">'Example 7.3 - Pipe P1'!$C$83</definedName>
    <definedName name="M_3">'Graph Data'!$G$13</definedName>
    <definedName name="M_4">'Graph Data'!$G$71</definedName>
    <definedName name="mdot">'Example 7.3 - Pipe P1'!$C$117</definedName>
    <definedName name="P_1">'Example 7.3 - Pipe P1'!$C$122</definedName>
    <definedName name="P_2">'Example 7.3 - Pipe P1'!$C$159</definedName>
    <definedName name="Po_1">'Example 7.3 - Pipe P1'!$C$37</definedName>
    <definedName name="Po_2">'Example 7.3 - Pipe P1'!$C$164</definedName>
    <definedName name="Rg">'Example 7.3 - Pipe P1'!$C$3</definedName>
    <definedName name="rho_1">'Example 7.3 - Pipe P1'!$C$127</definedName>
    <definedName name="rho_2">'Example 7.3 - Pipe P1'!$C$170</definedName>
    <definedName name="T_1">'Example 7.3 - Pipe P1'!$C$124</definedName>
    <definedName name="T_2">'Example 7.3 - Pipe P1'!$C$161</definedName>
    <definedName name="To_1">'Example 7.3 - Pipe P1'!$C$41</definedName>
    <definedName name="To_2">'Example 7.3 - Pipe P1'!$C$166</definedName>
    <definedName name="V_1">'Example 7.3 - Pipe P1'!$C$129</definedName>
    <definedName name="V_2">'Example 7.3 - Pipe P1'!$C$172</definedName>
    <definedName name="Z">'Example 7.3 - Pipe P1'!$C$42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G3" i="3"/>
  <c r="H3" i="3" s="1"/>
  <c r="K3" i="3"/>
  <c r="L3" i="3" s="1"/>
  <c r="G11" i="3"/>
  <c r="AC11" i="3" s="1"/>
  <c r="B12" i="3"/>
  <c r="F12" i="3"/>
  <c r="H12" i="3"/>
  <c r="AC12" i="3"/>
  <c r="E13" i="3"/>
  <c r="AC13" i="3"/>
  <c r="G14" i="3"/>
  <c r="G15" i="3" s="1"/>
  <c r="Q14" i="3"/>
  <c r="R14" i="3"/>
  <c r="R15" i="3" s="1"/>
  <c r="Q15" i="3"/>
  <c r="S15" i="3" s="1"/>
  <c r="H70" i="3"/>
  <c r="AC70" i="3"/>
  <c r="E71" i="3"/>
  <c r="AC71" i="3"/>
  <c r="G72" i="3"/>
  <c r="E72" i="3" s="1"/>
  <c r="F72" i="3" s="1"/>
  <c r="H72" i="3"/>
  <c r="Q72" i="3"/>
  <c r="R72" i="3"/>
  <c r="E122" i="3"/>
  <c r="F122" i="3" s="1"/>
  <c r="H122" i="3"/>
  <c r="AC122" i="3"/>
  <c r="AE71" i="3" l="1"/>
  <c r="T14" i="3"/>
  <c r="G73" i="3"/>
  <c r="AC72" i="3"/>
  <c r="M14" i="3"/>
  <c r="N14" i="3" s="1"/>
  <c r="P14" i="3" s="1"/>
  <c r="AE3" i="3"/>
  <c r="AB122" i="3"/>
  <c r="H14" i="3"/>
  <c r="AE13" i="3"/>
  <c r="T72" i="3"/>
  <c r="R73" i="3"/>
  <c r="S72" i="3"/>
  <c r="Q73" i="3"/>
  <c r="M72" i="3"/>
  <c r="AB72" i="3"/>
  <c r="AB13" i="3"/>
  <c r="AB12" i="3"/>
  <c r="AB3" i="3"/>
  <c r="AB71" i="3"/>
  <c r="H73" i="3"/>
  <c r="E73" i="3"/>
  <c r="T15" i="3"/>
  <c r="R16" i="3"/>
  <c r="AC15" i="3"/>
  <c r="H15" i="3"/>
  <c r="G16" i="3"/>
  <c r="S14" i="3"/>
  <c r="AC3" i="3"/>
  <c r="M15" i="3"/>
  <c r="AC14" i="3"/>
  <c r="Q16" i="3"/>
  <c r="H11" i="3"/>
  <c r="G4" i="3"/>
  <c r="N172" i="1"/>
  <c r="N173" i="1"/>
  <c r="N171" i="1"/>
  <c r="N170" i="1"/>
  <c r="N165" i="1"/>
  <c r="N166" i="1"/>
  <c r="N167" i="1"/>
  <c r="N168" i="1"/>
  <c r="N164" i="1"/>
  <c r="O14" i="3" l="1"/>
  <c r="AC73" i="3"/>
  <c r="G74" i="3"/>
  <c r="R17" i="3"/>
  <c r="T16" i="3"/>
  <c r="N15" i="3"/>
  <c r="P15" i="3" s="1"/>
  <c r="O15" i="3"/>
  <c r="AC4" i="3"/>
  <c r="H4" i="3"/>
  <c r="G5" i="3"/>
  <c r="AB73" i="3"/>
  <c r="F73" i="3"/>
  <c r="N72" i="3"/>
  <c r="P72" i="3" s="1"/>
  <c r="O72" i="3"/>
  <c r="S73" i="3"/>
  <c r="Q74" i="3"/>
  <c r="M73" i="3"/>
  <c r="M16" i="3"/>
  <c r="S16" i="3"/>
  <c r="Q17" i="3"/>
  <c r="G17" i="3"/>
  <c r="AC16" i="3"/>
  <c r="H16" i="3"/>
  <c r="T73" i="3"/>
  <c r="R74" i="3"/>
  <c r="C38" i="1"/>
  <c r="H74" i="3" l="1"/>
  <c r="G75" i="3"/>
  <c r="AC74" i="3"/>
  <c r="E74" i="3"/>
  <c r="Q75" i="3"/>
  <c r="M74" i="3"/>
  <c r="S74" i="3"/>
  <c r="R75" i="3"/>
  <c r="T74" i="3"/>
  <c r="T17" i="3"/>
  <c r="R18" i="3"/>
  <c r="H17" i="3"/>
  <c r="G18" i="3"/>
  <c r="AC17" i="3"/>
  <c r="H5" i="3"/>
  <c r="G6" i="3"/>
  <c r="AC5" i="3"/>
  <c r="S17" i="3"/>
  <c r="Q18" i="3"/>
  <c r="M17" i="3"/>
  <c r="N16" i="3"/>
  <c r="P16" i="3" s="1"/>
  <c r="O16" i="3"/>
  <c r="N73" i="3"/>
  <c r="P73" i="3" s="1"/>
  <c r="O73" i="3"/>
  <c r="C84" i="1"/>
  <c r="AB74" i="3" l="1"/>
  <c r="F74" i="3"/>
  <c r="G76" i="3"/>
  <c r="AC75" i="3"/>
  <c r="E75" i="3"/>
  <c r="H75" i="3"/>
  <c r="AC6" i="3"/>
  <c r="H6" i="3"/>
  <c r="G7" i="3"/>
  <c r="N74" i="3"/>
  <c r="P74" i="3" s="1"/>
  <c r="O74" i="3"/>
  <c r="T75" i="3"/>
  <c r="R76" i="3"/>
  <c r="AC18" i="3"/>
  <c r="H18" i="3"/>
  <c r="G19" i="3"/>
  <c r="N17" i="3"/>
  <c r="P17" i="3" s="1"/>
  <c r="O17" i="3"/>
  <c r="S75" i="3"/>
  <c r="Q76" i="3"/>
  <c r="M75" i="3"/>
  <c r="M18" i="3"/>
  <c r="S18" i="3"/>
  <c r="Q19" i="3"/>
  <c r="T18" i="3"/>
  <c r="R19" i="3"/>
  <c r="C46" i="1"/>
  <c r="C48" i="1" s="1"/>
  <c r="C47" i="1"/>
  <c r="C101" i="1"/>
  <c r="C115" i="1"/>
  <c r="AC76" i="3" l="1"/>
  <c r="E76" i="3"/>
  <c r="G77" i="3"/>
  <c r="H76" i="3"/>
  <c r="F75" i="3"/>
  <c r="AB75" i="3"/>
  <c r="H19" i="3"/>
  <c r="G20" i="3"/>
  <c r="AC19" i="3"/>
  <c r="G8" i="3"/>
  <c r="AC7" i="3"/>
  <c r="H7" i="3"/>
  <c r="Q20" i="3"/>
  <c r="M19" i="3"/>
  <c r="S19" i="3"/>
  <c r="R77" i="3"/>
  <c r="T76" i="3"/>
  <c r="N75" i="3"/>
  <c r="P75" i="3" s="1"/>
  <c r="O75" i="3"/>
  <c r="M76" i="3"/>
  <c r="S76" i="3"/>
  <c r="Q77" i="3"/>
  <c r="T19" i="3"/>
  <c r="R20" i="3"/>
  <c r="N18" i="3"/>
  <c r="P18" i="3" s="1"/>
  <c r="O18" i="3"/>
  <c r="B178" i="1"/>
  <c r="B176" i="1"/>
  <c r="B173" i="1"/>
  <c r="B171" i="1"/>
  <c r="B168" i="1"/>
  <c r="B165" i="1"/>
  <c r="B163" i="1"/>
  <c r="B160" i="1"/>
  <c r="B153" i="1"/>
  <c r="B142" i="1"/>
  <c r="B140" i="1"/>
  <c r="B132" i="1"/>
  <c r="B130" i="1"/>
  <c r="B128" i="1"/>
  <c r="B126" i="1"/>
  <c r="B123" i="1"/>
  <c r="H77" i="3" l="1"/>
  <c r="AC77" i="3"/>
  <c r="G78" i="3"/>
  <c r="E77" i="3"/>
  <c r="AB76" i="3"/>
  <c r="F76" i="3"/>
  <c r="T77" i="3"/>
  <c r="R78" i="3"/>
  <c r="AC20" i="3"/>
  <c r="H20" i="3"/>
  <c r="G21" i="3"/>
  <c r="N76" i="3"/>
  <c r="P76" i="3" s="1"/>
  <c r="O76" i="3"/>
  <c r="N19" i="3"/>
  <c r="P19" i="3" s="1"/>
  <c r="O19" i="3"/>
  <c r="S20" i="3"/>
  <c r="Q21" i="3"/>
  <c r="M20" i="3"/>
  <c r="H8" i="3"/>
  <c r="G9" i="3"/>
  <c r="AC8" i="3"/>
  <c r="T20" i="3"/>
  <c r="R21" i="3"/>
  <c r="S77" i="3"/>
  <c r="Q78" i="3"/>
  <c r="M77" i="3"/>
  <c r="C40" i="1"/>
  <c r="C18" i="1"/>
  <c r="C22" i="1" s="1"/>
  <c r="C21" i="1"/>
  <c r="C23" i="1" s="1"/>
  <c r="C82" i="1" s="1"/>
  <c r="C85" i="1" s="1"/>
  <c r="C19" i="1"/>
  <c r="E20" i="3" s="1"/>
  <c r="C16" i="1"/>
  <c r="C12" i="1"/>
  <c r="C4" i="1"/>
  <c r="C41" i="1"/>
  <c r="Q3" i="3" s="1"/>
  <c r="C122" i="1"/>
  <c r="I3" i="3" s="1"/>
  <c r="F77" i="3" l="1"/>
  <c r="AB77" i="3"/>
  <c r="E78" i="3"/>
  <c r="G79" i="3"/>
  <c r="H78" i="3"/>
  <c r="AC78" i="3"/>
  <c r="AB20" i="3"/>
  <c r="F20" i="3"/>
  <c r="N77" i="3"/>
  <c r="P77" i="3" s="1"/>
  <c r="O77" i="3"/>
  <c r="AD13" i="3"/>
  <c r="J3" i="3"/>
  <c r="AD3" i="3"/>
  <c r="AD71" i="3"/>
  <c r="R22" i="3"/>
  <c r="T21" i="3"/>
  <c r="G22" i="3"/>
  <c r="AC21" i="3"/>
  <c r="E21" i="3"/>
  <c r="H21" i="3"/>
  <c r="E14" i="3"/>
  <c r="E70" i="3"/>
  <c r="E11" i="3"/>
  <c r="E15" i="3"/>
  <c r="E4" i="3"/>
  <c r="E16" i="3"/>
  <c r="E17" i="3"/>
  <c r="E5" i="3"/>
  <c r="E18" i="3"/>
  <c r="E6" i="3"/>
  <c r="E19" i="3"/>
  <c r="E7" i="3"/>
  <c r="E8" i="3"/>
  <c r="O20" i="3"/>
  <c r="N20" i="3"/>
  <c r="P20" i="3" s="1"/>
  <c r="M78" i="3"/>
  <c r="S78" i="3"/>
  <c r="Q79" i="3"/>
  <c r="Q22" i="3"/>
  <c r="M21" i="3"/>
  <c r="S21" i="3"/>
  <c r="R3" i="3"/>
  <c r="S3" i="3"/>
  <c r="Q4" i="3"/>
  <c r="G10" i="3"/>
  <c r="AC9" i="3"/>
  <c r="E9" i="3"/>
  <c r="H9" i="3"/>
  <c r="T78" i="3"/>
  <c r="R79" i="3"/>
  <c r="C117" i="1"/>
  <c r="C123" i="1"/>
  <c r="C124" i="1"/>
  <c r="M3" i="3" s="1"/>
  <c r="C20" i="1"/>
  <c r="C24" i="1" s="1"/>
  <c r="C98" i="1"/>
  <c r="C102" i="1" s="1"/>
  <c r="C159" i="1"/>
  <c r="G80" i="3" l="1"/>
  <c r="H79" i="3"/>
  <c r="E79" i="3"/>
  <c r="AC79" i="3"/>
  <c r="F78" i="3"/>
  <c r="AB78" i="3"/>
  <c r="AF3" i="3"/>
  <c r="AF13" i="3"/>
  <c r="N3" i="3"/>
  <c r="P3" i="3" s="1"/>
  <c r="O3" i="3"/>
  <c r="AF71" i="3"/>
  <c r="AF14" i="3"/>
  <c r="AF15" i="3"/>
  <c r="AF72" i="3"/>
  <c r="AF16" i="3"/>
  <c r="AF73" i="3"/>
  <c r="AF17" i="3"/>
  <c r="AF74" i="3"/>
  <c r="AF18" i="3"/>
  <c r="AF75" i="3"/>
  <c r="AF76" i="3"/>
  <c r="AF19" i="3"/>
  <c r="AB5" i="3"/>
  <c r="F5" i="3"/>
  <c r="AB7" i="3"/>
  <c r="F7" i="3"/>
  <c r="T3" i="3"/>
  <c r="R4" i="3"/>
  <c r="F17" i="3"/>
  <c r="AB17" i="3"/>
  <c r="K16" i="3"/>
  <c r="K21" i="3"/>
  <c r="K14" i="3"/>
  <c r="K19" i="3"/>
  <c r="K17" i="3"/>
  <c r="K15" i="3"/>
  <c r="K20" i="3"/>
  <c r="K4" i="3"/>
  <c r="K18" i="3"/>
  <c r="K76" i="3"/>
  <c r="K74" i="3"/>
  <c r="K79" i="3"/>
  <c r="K72" i="3"/>
  <c r="K77" i="3"/>
  <c r="K75" i="3"/>
  <c r="K73" i="3"/>
  <c r="K78" i="3"/>
  <c r="AB21" i="3"/>
  <c r="F21" i="3"/>
  <c r="T79" i="3"/>
  <c r="R80" i="3"/>
  <c r="Q80" i="3"/>
  <c r="M79" i="3"/>
  <c r="S79" i="3"/>
  <c r="AB4" i="3"/>
  <c r="F4" i="3"/>
  <c r="AB19" i="3"/>
  <c r="F19" i="3"/>
  <c r="T22" i="3"/>
  <c r="R23" i="3"/>
  <c r="AB16" i="3"/>
  <c r="F16" i="3"/>
  <c r="F15" i="3"/>
  <c r="AB15" i="3"/>
  <c r="AB18" i="3"/>
  <c r="F18" i="3"/>
  <c r="AB9" i="3"/>
  <c r="F9" i="3"/>
  <c r="AF20" i="3"/>
  <c r="AB11" i="3"/>
  <c r="F11" i="3"/>
  <c r="E22" i="3"/>
  <c r="H22" i="3"/>
  <c r="K22" i="3" s="1"/>
  <c r="G23" i="3"/>
  <c r="AC22" i="3"/>
  <c r="AF77" i="3"/>
  <c r="AB6" i="3"/>
  <c r="F6" i="3"/>
  <c r="N78" i="3"/>
  <c r="P78" i="3" s="1"/>
  <c r="O78" i="3"/>
  <c r="AF78" i="3"/>
  <c r="H10" i="3"/>
  <c r="AC10" i="3"/>
  <c r="E10" i="3"/>
  <c r="AB70" i="3"/>
  <c r="F70" i="3"/>
  <c r="N21" i="3"/>
  <c r="P21" i="3" s="1"/>
  <c r="O21" i="3"/>
  <c r="AF21" i="3"/>
  <c r="S22" i="3"/>
  <c r="Q23" i="3"/>
  <c r="M22" i="3"/>
  <c r="M4" i="3"/>
  <c r="S4" i="3"/>
  <c r="Q5" i="3"/>
  <c r="F8" i="3"/>
  <c r="AB8" i="3"/>
  <c r="AB14" i="3"/>
  <c r="F14" i="3"/>
  <c r="C125" i="1"/>
  <c r="C126" i="1" s="1"/>
  <c r="C160" i="1"/>
  <c r="C164" i="1"/>
  <c r="C165" i="1" s="1"/>
  <c r="C127" i="1"/>
  <c r="U3" i="3" s="1"/>
  <c r="C139" i="1"/>
  <c r="C140" i="1" s="1"/>
  <c r="C161" i="1"/>
  <c r="AB79" i="3" l="1"/>
  <c r="F79" i="3"/>
  <c r="H80" i="3"/>
  <c r="G81" i="3"/>
  <c r="AC80" i="3"/>
  <c r="E80" i="3"/>
  <c r="AE22" i="3"/>
  <c r="I22" i="3"/>
  <c r="L22" i="3"/>
  <c r="I74" i="3"/>
  <c r="L74" i="3"/>
  <c r="AE74" i="3"/>
  <c r="L21" i="3"/>
  <c r="AE21" i="3"/>
  <c r="I21" i="3"/>
  <c r="T4" i="3"/>
  <c r="R5" i="3"/>
  <c r="S80" i="3"/>
  <c r="Q81" i="3"/>
  <c r="M80" i="3"/>
  <c r="AE15" i="3"/>
  <c r="I15" i="3"/>
  <c r="L15" i="3"/>
  <c r="AE73" i="3"/>
  <c r="I73" i="3"/>
  <c r="L73" i="3"/>
  <c r="AB10" i="3"/>
  <c r="F10" i="3"/>
  <c r="G24" i="3"/>
  <c r="AC23" i="3"/>
  <c r="E23" i="3"/>
  <c r="H23" i="3"/>
  <c r="K23" i="3" s="1"/>
  <c r="AE18" i="3"/>
  <c r="I18" i="3"/>
  <c r="L18" i="3"/>
  <c r="AE17" i="3"/>
  <c r="I17" i="3"/>
  <c r="L17" i="3"/>
  <c r="AE77" i="3"/>
  <c r="I77" i="3"/>
  <c r="L77" i="3"/>
  <c r="I72" i="3"/>
  <c r="L72" i="3"/>
  <c r="AE72" i="3"/>
  <c r="AE4" i="3"/>
  <c r="I4" i="3"/>
  <c r="L4" i="3"/>
  <c r="L16" i="3"/>
  <c r="AE16" i="3"/>
  <c r="I16" i="3"/>
  <c r="F22" i="3"/>
  <c r="AB22" i="3"/>
  <c r="T23" i="3"/>
  <c r="R24" i="3"/>
  <c r="L76" i="3"/>
  <c r="AE76" i="3"/>
  <c r="I76" i="3"/>
  <c r="N4" i="3"/>
  <c r="P4" i="3" s="1"/>
  <c r="O4" i="3"/>
  <c r="AF4" i="3"/>
  <c r="I14" i="3"/>
  <c r="L14" i="3"/>
  <c r="AE14" i="3"/>
  <c r="AE78" i="3"/>
  <c r="I78" i="3"/>
  <c r="L78" i="3"/>
  <c r="Q6" i="3"/>
  <c r="M5" i="3"/>
  <c r="S5" i="3"/>
  <c r="I79" i="3"/>
  <c r="L79" i="3"/>
  <c r="AE79" i="3"/>
  <c r="AE20" i="3"/>
  <c r="I20" i="3"/>
  <c r="L20" i="3"/>
  <c r="N79" i="3"/>
  <c r="P79" i="3" s="1"/>
  <c r="O79" i="3"/>
  <c r="AF79" i="3"/>
  <c r="T80" i="3"/>
  <c r="R81" i="3"/>
  <c r="AG3" i="3"/>
  <c r="V3" i="3"/>
  <c r="AG13" i="3"/>
  <c r="AG71" i="3"/>
  <c r="W3" i="3"/>
  <c r="I19" i="3"/>
  <c r="L19" i="3"/>
  <c r="AE19" i="3"/>
  <c r="K80" i="3"/>
  <c r="AF22" i="3"/>
  <c r="N22" i="3"/>
  <c r="P22" i="3" s="1"/>
  <c r="O22" i="3"/>
  <c r="AE75" i="3"/>
  <c r="I75" i="3"/>
  <c r="L75" i="3"/>
  <c r="M23" i="3"/>
  <c r="S23" i="3"/>
  <c r="Q24" i="3"/>
  <c r="K5" i="3"/>
  <c r="C128" i="1"/>
  <c r="M164" i="1"/>
  <c r="M165" i="1" s="1"/>
  <c r="C166" i="1"/>
  <c r="M166" i="1" s="1"/>
  <c r="M167" i="1" s="1"/>
  <c r="M168" i="1" s="1"/>
  <c r="C170" i="1"/>
  <c r="C162" i="1"/>
  <c r="C163" i="1" s="1"/>
  <c r="AB80" i="3" l="1"/>
  <c r="F80" i="3"/>
  <c r="G82" i="3"/>
  <c r="AC81" i="3"/>
  <c r="E81" i="3"/>
  <c r="H81" i="3"/>
  <c r="K81" i="3" s="1"/>
  <c r="T5" i="3"/>
  <c r="R6" i="3"/>
  <c r="J21" i="3"/>
  <c r="AD21" i="3"/>
  <c r="U21" i="3"/>
  <c r="AD73" i="3"/>
  <c r="U73" i="3"/>
  <c r="W73" i="3" s="1"/>
  <c r="J73" i="3"/>
  <c r="L23" i="3"/>
  <c r="AE23" i="3"/>
  <c r="I23" i="3"/>
  <c r="U79" i="3"/>
  <c r="W79" i="3" s="1"/>
  <c r="J79" i="3"/>
  <c r="AD79" i="3"/>
  <c r="AD76" i="3"/>
  <c r="J76" i="3"/>
  <c r="U76" i="3"/>
  <c r="W76" i="3" s="1"/>
  <c r="R82" i="3"/>
  <c r="T81" i="3"/>
  <c r="U72" i="3"/>
  <c r="W72" i="3" s="1"/>
  <c r="J72" i="3"/>
  <c r="AD72" i="3"/>
  <c r="AD78" i="3"/>
  <c r="U78" i="3"/>
  <c r="W78" i="3" s="1"/>
  <c r="J78" i="3"/>
  <c r="AD4" i="3"/>
  <c r="U4" i="3"/>
  <c r="J4" i="3"/>
  <c r="W4" i="3"/>
  <c r="S24" i="3"/>
  <c r="Q25" i="3"/>
  <c r="M24" i="3"/>
  <c r="U74" i="3"/>
  <c r="J74" i="3"/>
  <c r="AD74" i="3"/>
  <c r="AD75" i="3"/>
  <c r="U75" i="3"/>
  <c r="J75" i="3"/>
  <c r="W75" i="3"/>
  <c r="AD18" i="3"/>
  <c r="U18" i="3"/>
  <c r="W18" i="3" s="1"/>
  <c r="J18" i="3"/>
  <c r="N5" i="3"/>
  <c r="P5" i="3" s="1"/>
  <c r="O5" i="3"/>
  <c r="AF5" i="3"/>
  <c r="T24" i="3"/>
  <c r="R25" i="3"/>
  <c r="AD15" i="3"/>
  <c r="U15" i="3"/>
  <c r="J15" i="3"/>
  <c r="W15" i="3"/>
  <c r="AE80" i="3"/>
  <c r="I80" i="3"/>
  <c r="L80" i="3"/>
  <c r="S6" i="3"/>
  <c r="Q7" i="3"/>
  <c r="M6" i="3"/>
  <c r="K6" i="3"/>
  <c r="I5" i="3"/>
  <c r="L5" i="3"/>
  <c r="AE5" i="3"/>
  <c r="U77" i="3"/>
  <c r="J77" i="3"/>
  <c r="W77" i="3"/>
  <c r="AD77" i="3"/>
  <c r="H24" i="3"/>
  <c r="K24" i="3" s="1"/>
  <c r="G25" i="3"/>
  <c r="AC24" i="3"/>
  <c r="E24" i="3"/>
  <c r="N23" i="3"/>
  <c r="P23" i="3" s="1"/>
  <c r="O23" i="3"/>
  <c r="AF23" i="3"/>
  <c r="U19" i="3"/>
  <c r="J19" i="3"/>
  <c r="W19" i="3"/>
  <c r="AD19" i="3"/>
  <c r="AD20" i="3"/>
  <c r="U20" i="3"/>
  <c r="J20" i="3"/>
  <c r="AD16" i="3"/>
  <c r="U16" i="3"/>
  <c r="J16" i="3"/>
  <c r="O80" i="3"/>
  <c r="AF80" i="3"/>
  <c r="N80" i="3"/>
  <c r="P80" i="3" s="1"/>
  <c r="AD22" i="3"/>
  <c r="U22" i="3"/>
  <c r="W22" i="3" s="1"/>
  <c r="J22" i="3"/>
  <c r="AB23" i="3"/>
  <c r="F23" i="3"/>
  <c r="X3" i="3"/>
  <c r="Y3" i="3"/>
  <c r="U14" i="3"/>
  <c r="J14" i="3"/>
  <c r="W14" i="3"/>
  <c r="AD14" i="3"/>
  <c r="U17" i="3"/>
  <c r="J17" i="3"/>
  <c r="W17" i="3"/>
  <c r="AD17" i="3"/>
  <c r="Q82" i="3"/>
  <c r="M81" i="3"/>
  <c r="S81" i="3"/>
  <c r="C171" i="1"/>
  <c r="C172" i="1"/>
  <c r="C177" i="1" s="1"/>
  <c r="M170" i="1"/>
  <c r="C167" i="1"/>
  <c r="C168" i="1" s="1"/>
  <c r="C129" i="1"/>
  <c r="C131" i="1" s="1"/>
  <c r="C132" i="1" s="1"/>
  <c r="C118" i="1"/>
  <c r="AB81" i="3" l="1"/>
  <c r="F81" i="3"/>
  <c r="H82" i="3"/>
  <c r="K82" i="3" s="1"/>
  <c r="G83" i="3"/>
  <c r="AC82" i="3"/>
  <c r="E82" i="3"/>
  <c r="X78" i="3"/>
  <c r="Y78" i="3"/>
  <c r="I24" i="3"/>
  <c r="L24" i="3"/>
  <c r="AE24" i="3"/>
  <c r="X17" i="3"/>
  <c r="Y17" i="3"/>
  <c r="X73" i="3"/>
  <c r="Y73" i="3"/>
  <c r="X22" i="3"/>
  <c r="Y22" i="3"/>
  <c r="AG73" i="3"/>
  <c r="V73" i="3"/>
  <c r="AD80" i="3"/>
  <c r="U80" i="3"/>
  <c r="W80" i="3" s="1"/>
  <c r="J80" i="3"/>
  <c r="X72" i="3"/>
  <c r="Y72" i="3"/>
  <c r="X19" i="3"/>
  <c r="Y19" i="3"/>
  <c r="X14" i="3"/>
  <c r="Y14" i="3"/>
  <c r="X15" i="3"/>
  <c r="Y15" i="3"/>
  <c r="AG72" i="3"/>
  <c r="V72" i="3"/>
  <c r="AG79" i="3"/>
  <c r="V79" i="3"/>
  <c r="V74" i="3"/>
  <c r="AG74" i="3"/>
  <c r="V21" i="3"/>
  <c r="AG21" i="3"/>
  <c r="AC25" i="3"/>
  <c r="E25" i="3"/>
  <c r="H25" i="3"/>
  <c r="K25" i="3" s="1"/>
  <c r="G26" i="3"/>
  <c r="AG22" i="3"/>
  <c r="V22" i="3"/>
  <c r="X75" i="3"/>
  <c r="Y75" i="3"/>
  <c r="AG15" i="3"/>
  <c r="V15" i="3"/>
  <c r="Q8" i="3"/>
  <c r="M7" i="3"/>
  <c r="S7" i="3"/>
  <c r="K7" i="3"/>
  <c r="X76" i="3"/>
  <c r="Y76" i="3"/>
  <c r="X18" i="3"/>
  <c r="Y18" i="3"/>
  <c r="AF24" i="3"/>
  <c r="N24" i="3"/>
  <c r="P24" i="3" s="1"/>
  <c r="O24" i="3"/>
  <c r="X77" i="3"/>
  <c r="Y77" i="3"/>
  <c r="S25" i="3"/>
  <c r="Q26" i="3"/>
  <c r="M25" i="3"/>
  <c r="X4" i="3"/>
  <c r="Y4" i="3"/>
  <c r="L81" i="3"/>
  <c r="AE81" i="3"/>
  <c r="I81" i="3"/>
  <c r="AH3" i="3"/>
  <c r="AH13" i="3"/>
  <c r="Z3" i="3"/>
  <c r="AH71" i="3"/>
  <c r="AG16" i="3"/>
  <c r="V16" i="3"/>
  <c r="AG75" i="3"/>
  <c r="V75" i="3"/>
  <c r="AG4" i="3"/>
  <c r="V4" i="3"/>
  <c r="W21" i="3"/>
  <c r="AG20" i="3"/>
  <c r="V20" i="3"/>
  <c r="X79" i="3"/>
  <c r="Y79" i="3"/>
  <c r="AG18" i="3"/>
  <c r="V18" i="3"/>
  <c r="AG77" i="3"/>
  <c r="V77" i="3"/>
  <c r="N81" i="3"/>
  <c r="P81" i="3" s="1"/>
  <c r="O81" i="3"/>
  <c r="AF81" i="3"/>
  <c r="W16" i="3"/>
  <c r="AE6" i="3"/>
  <c r="I6" i="3"/>
  <c r="L6" i="3"/>
  <c r="AG76" i="3"/>
  <c r="V76" i="3"/>
  <c r="T6" i="3"/>
  <c r="R7" i="3"/>
  <c r="AG78" i="3"/>
  <c r="V78" i="3"/>
  <c r="AG17" i="3"/>
  <c r="V17" i="3"/>
  <c r="AG19" i="3"/>
  <c r="V19" i="3"/>
  <c r="V14" i="3"/>
  <c r="AG14" i="3"/>
  <c r="U5" i="3"/>
  <c r="W5" i="3" s="1"/>
  <c r="J5" i="3"/>
  <c r="AD5" i="3"/>
  <c r="T25" i="3"/>
  <c r="R26" i="3"/>
  <c r="T82" i="3"/>
  <c r="R83" i="3"/>
  <c r="AB24" i="3"/>
  <c r="F24" i="3"/>
  <c r="S82" i="3"/>
  <c r="Q83" i="3"/>
  <c r="M82" i="3"/>
  <c r="W20" i="3"/>
  <c r="O6" i="3"/>
  <c r="AF6" i="3"/>
  <c r="N6" i="3"/>
  <c r="P6" i="3" s="1"/>
  <c r="W74" i="3"/>
  <c r="AD23" i="3"/>
  <c r="U23" i="3"/>
  <c r="J23" i="3"/>
  <c r="M171" i="1"/>
  <c r="M172" i="1"/>
  <c r="M173" i="1" s="1"/>
  <c r="C178" i="1"/>
  <c r="C173" i="1"/>
  <c r="C141" i="1"/>
  <c r="C142" i="1" s="1"/>
  <c r="C130" i="1"/>
  <c r="AB82" i="3" l="1"/>
  <c r="F82" i="3"/>
  <c r="H83" i="3"/>
  <c r="G84" i="3"/>
  <c r="E83" i="3"/>
  <c r="AC83" i="3"/>
  <c r="AE25" i="3"/>
  <c r="I25" i="3"/>
  <c r="L25" i="3"/>
  <c r="X80" i="3"/>
  <c r="Y80" i="3"/>
  <c r="AD6" i="3"/>
  <c r="U6" i="3"/>
  <c r="J6" i="3"/>
  <c r="W6" i="3"/>
  <c r="AH19" i="3"/>
  <c r="Z19" i="3"/>
  <c r="Z73" i="3"/>
  <c r="AH73" i="3"/>
  <c r="N7" i="3"/>
  <c r="P7" i="3" s="1"/>
  <c r="O7" i="3"/>
  <c r="AF7" i="3"/>
  <c r="AH22" i="3"/>
  <c r="Z22" i="3"/>
  <c r="X16" i="3"/>
  <c r="Y16" i="3"/>
  <c r="X21" i="3"/>
  <c r="Y21" i="3"/>
  <c r="AH72" i="3"/>
  <c r="Z72" i="3"/>
  <c r="AH17" i="3"/>
  <c r="Z17" i="3"/>
  <c r="X74" i="3"/>
  <c r="Y74" i="3"/>
  <c r="R27" i="3"/>
  <c r="T26" i="3"/>
  <c r="X5" i="3"/>
  <c r="Y5" i="3"/>
  <c r="AH75" i="3"/>
  <c r="Z75" i="3"/>
  <c r="AB25" i="3"/>
  <c r="F25" i="3"/>
  <c r="J81" i="3"/>
  <c r="AD81" i="3"/>
  <c r="U81" i="3"/>
  <c r="Z4" i="3"/>
  <c r="AH4" i="3"/>
  <c r="AG23" i="3"/>
  <c r="V23" i="3"/>
  <c r="S8" i="3"/>
  <c r="Q9" i="3"/>
  <c r="M8" i="3"/>
  <c r="K8" i="3"/>
  <c r="R8" i="3"/>
  <c r="T7" i="3"/>
  <c r="X20" i="3"/>
  <c r="Y20" i="3"/>
  <c r="Z18" i="3"/>
  <c r="AH18" i="3"/>
  <c r="AG5" i="3"/>
  <c r="V5" i="3"/>
  <c r="Z76" i="3"/>
  <c r="AH76" i="3"/>
  <c r="AH79" i="3"/>
  <c r="Z79" i="3"/>
  <c r="M83" i="3"/>
  <c r="S83" i="3"/>
  <c r="Q84" i="3"/>
  <c r="K83" i="3"/>
  <c r="AG80" i="3"/>
  <c r="V80" i="3"/>
  <c r="U24" i="3"/>
  <c r="W24" i="3" s="1"/>
  <c r="J24" i="3"/>
  <c r="AD24" i="3"/>
  <c r="AH14" i="3"/>
  <c r="Z14" i="3"/>
  <c r="AE82" i="3"/>
  <c r="I82" i="3"/>
  <c r="L82" i="3"/>
  <c r="W23" i="3"/>
  <c r="N25" i="3"/>
  <c r="P25" i="3" s="1"/>
  <c r="O25" i="3"/>
  <c r="AF25" i="3"/>
  <c r="L7" i="3"/>
  <c r="AE7" i="3"/>
  <c r="I7" i="3"/>
  <c r="Z78" i="3"/>
  <c r="AH78" i="3"/>
  <c r="T83" i="3"/>
  <c r="R84" i="3"/>
  <c r="AH77" i="3"/>
  <c r="Z77" i="3"/>
  <c r="AF82" i="3"/>
  <c r="N82" i="3"/>
  <c r="P82" i="3" s="1"/>
  <c r="O82" i="3"/>
  <c r="Q27" i="3"/>
  <c r="M26" i="3"/>
  <c r="S26" i="3"/>
  <c r="G27" i="3"/>
  <c r="AC26" i="3"/>
  <c r="E26" i="3"/>
  <c r="H26" i="3"/>
  <c r="K26" i="3" s="1"/>
  <c r="AH15" i="3"/>
  <c r="Z15" i="3"/>
  <c r="C152" i="1"/>
  <c r="C175" i="1" s="1"/>
  <c r="C176" i="1" s="1"/>
  <c r="AB83" i="3" l="1"/>
  <c r="F83" i="3"/>
  <c r="AC84" i="3"/>
  <c r="E84" i="3"/>
  <c r="H84" i="3"/>
  <c r="K84" i="3" s="1"/>
  <c r="G85" i="3"/>
  <c r="I26" i="3"/>
  <c r="L26" i="3"/>
  <c r="AE26" i="3"/>
  <c r="M9" i="3"/>
  <c r="S9" i="3"/>
  <c r="Q10" i="3"/>
  <c r="K9" i="3"/>
  <c r="L83" i="3"/>
  <c r="AE83" i="3"/>
  <c r="I83" i="3"/>
  <c r="Z16" i="3"/>
  <c r="AH16" i="3"/>
  <c r="S84" i="3"/>
  <c r="Q85" i="3"/>
  <c r="M84" i="3"/>
  <c r="T27" i="3"/>
  <c r="R28" i="3"/>
  <c r="AH80" i="3"/>
  <c r="Z80" i="3"/>
  <c r="Z21" i="3"/>
  <c r="AH21" i="3"/>
  <c r="T84" i="3"/>
  <c r="R85" i="3"/>
  <c r="AG6" i="3"/>
  <c r="V6" i="3"/>
  <c r="AD82" i="3"/>
  <c r="U82" i="3"/>
  <c r="J82" i="3"/>
  <c r="V81" i="3"/>
  <c r="AG81" i="3"/>
  <c r="AH74" i="3"/>
  <c r="Z74" i="3"/>
  <c r="AB26" i="3"/>
  <c r="F26" i="3"/>
  <c r="AG24" i="3"/>
  <c r="V24" i="3"/>
  <c r="AC27" i="3"/>
  <c r="E27" i="3"/>
  <c r="H27" i="3"/>
  <c r="K27" i="3" s="1"/>
  <c r="G28" i="3"/>
  <c r="X23" i="3"/>
  <c r="Y23" i="3"/>
  <c r="J7" i="3"/>
  <c r="AD7" i="3"/>
  <c r="U7" i="3"/>
  <c r="W7" i="3" s="1"/>
  <c r="S27" i="3"/>
  <c r="Q28" i="3"/>
  <c r="M27" i="3"/>
  <c r="N83" i="3"/>
  <c r="P83" i="3" s="1"/>
  <c r="O83" i="3"/>
  <c r="AF83" i="3"/>
  <c r="T8" i="3"/>
  <c r="R9" i="3"/>
  <c r="AH5" i="3"/>
  <c r="Z5" i="3"/>
  <c r="AH20" i="3"/>
  <c r="Z20" i="3"/>
  <c r="N26" i="3"/>
  <c r="P26" i="3" s="1"/>
  <c r="O26" i="3"/>
  <c r="AF26" i="3"/>
  <c r="W81" i="3"/>
  <c r="AD25" i="3"/>
  <c r="U25" i="3"/>
  <c r="J25" i="3"/>
  <c r="W25" i="3"/>
  <c r="X24" i="3"/>
  <c r="Y24" i="3"/>
  <c r="X6" i="3"/>
  <c r="Y6" i="3"/>
  <c r="AE8" i="3"/>
  <c r="I8" i="3"/>
  <c r="L8" i="3"/>
  <c r="AF8" i="3"/>
  <c r="N8" i="3"/>
  <c r="P8" i="3" s="1"/>
  <c r="O8" i="3"/>
  <c r="C153" i="1"/>
  <c r="E85" i="3" l="1"/>
  <c r="H85" i="3"/>
  <c r="G86" i="3"/>
  <c r="AC85" i="3"/>
  <c r="AB84" i="3"/>
  <c r="F84" i="3"/>
  <c r="X7" i="3"/>
  <c r="Y7" i="3"/>
  <c r="AE27" i="3"/>
  <c r="I27" i="3"/>
  <c r="L27" i="3"/>
  <c r="F27" i="3"/>
  <c r="AB27" i="3"/>
  <c r="M28" i="3"/>
  <c r="S28" i="3"/>
  <c r="Q29" i="3"/>
  <c r="AF27" i="3"/>
  <c r="N27" i="3"/>
  <c r="P27" i="3" s="1"/>
  <c r="O27" i="3"/>
  <c r="AG82" i="3"/>
  <c r="V82" i="3"/>
  <c r="AH6" i="3"/>
  <c r="Z6" i="3"/>
  <c r="L9" i="3"/>
  <c r="AE9" i="3"/>
  <c r="I9" i="3"/>
  <c r="AF84" i="3"/>
  <c r="N84" i="3"/>
  <c r="P84" i="3" s="1"/>
  <c r="O84" i="3"/>
  <c r="AH24" i="3"/>
  <c r="Z24" i="3"/>
  <c r="S10" i="3"/>
  <c r="Q11" i="3"/>
  <c r="M10" i="3"/>
  <c r="K10" i="3"/>
  <c r="Z23" i="3"/>
  <c r="AH23" i="3"/>
  <c r="N9" i="3"/>
  <c r="P9" i="3" s="1"/>
  <c r="O9" i="3"/>
  <c r="AF9" i="3"/>
  <c r="AD8" i="3"/>
  <c r="U8" i="3"/>
  <c r="W8" i="3" s="1"/>
  <c r="J8" i="3"/>
  <c r="T85" i="3"/>
  <c r="R86" i="3"/>
  <c r="AG25" i="3"/>
  <c r="V25" i="3"/>
  <c r="AD83" i="3"/>
  <c r="U83" i="3"/>
  <c r="J83" i="3"/>
  <c r="W83" i="3"/>
  <c r="I84" i="3"/>
  <c r="L84" i="3"/>
  <c r="AE84" i="3"/>
  <c r="V7" i="3"/>
  <c r="AG7" i="3"/>
  <c r="X25" i="3"/>
  <c r="Y25" i="3"/>
  <c r="S85" i="3"/>
  <c r="Q86" i="3"/>
  <c r="M85" i="3"/>
  <c r="K85" i="3"/>
  <c r="T9" i="3"/>
  <c r="R10" i="3"/>
  <c r="X81" i="3"/>
  <c r="Y81" i="3"/>
  <c r="G29" i="3"/>
  <c r="AC28" i="3"/>
  <c r="E28" i="3"/>
  <c r="H28" i="3"/>
  <c r="K28" i="3" s="1"/>
  <c r="W82" i="3"/>
  <c r="R29" i="3"/>
  <c r="T28" i="3"/>
  <c r="U26" i="3"/>
  <c r="J26" i="3"/>
  <c r="W26" i="3"/>
  <c r="AD26" i="3"/>
  <c r="G87" i="3" l="1"/>
  <c r="AC86" i="3"/>
  <c r="H86" i="3"/>
  <c r="K86" i="3" s="1"/>
  <c r="E86" i="3"/>
  <c r="F85" i="3"/>
  <c r="AB85" i="3"/>
  <c r="X26" i="3"/>
  <c r="Y26" i="3"/>
  <c r="AD9" i="3"/>
  <c r="U9" i="3"/>
  <c r="J9" i="3"/>
  <c r="W9" i="3"/>
  <c r="I10" i="3"/>
  <c r="L10" i="3"/>
  <c r="AE10" i="3"/>
  <c r="L28" i="3"/>
  <c r="AE28" i="3"/>
  <c r="I28" i="3"/>
  <c r="N28" i="3"/>
  <c r="P28" i="3" s="1"/>
  <c r="O28" i="3"/>
  <c r="AF28" i="3"/>
  <c r="U84" i="3"/>
  <c r="J84" i="3"/>
  <c r="W84" i="3"/>
  <c r="AD84" i="3"/>
  <c r="Z25" i="3"/>
  <c r="AH25" i="3"/>
  <c r="H29" i="3"/>
  <c r="K29" i="3" s="1"/>
  <c r="G30" i="3"/>
  <c r="AC29" i="3"/>
  <c r="E29" i="3"/>
  <c r="S11" i="3"/>
  <c r="Q12" i="3"/>
  <c r="M11" i="3"/>
  <c r="K11" i="3"/>
  <c r="T10" i="3"/>
  <c r="R11" i="3"/>
  <c r="N85" i="3"/>
  <c r="P85" i="3" s="1"/>
  <c r="O85" i="3"/>
  <c r="AF85" i="3"/>
  <c r="AD27" i="3"/>
  <c r="U27" i="3"/>
  <c r="J27" i="3"/>
  <c r="W27" i="3"/>
  <c r="AF10" i="3"/>
  <c r="N10" i="3"/>
  <c r="P10" i="3" s="1"/>
  <c r="O10" i="3"/>
  <c r="Z81" i="3"/>
  <c r="AH81" i="3"/>
  <c r="X8" i="3"/>
  <c r="Y8" i="3"/>
  <c r="AG8" i="3"/>
  <c r="V8" i="3"/>
  <c r="X83" i="3"/>
  <c r="Y83" i="3"/>
  <c r="X82" i="3"/>
  <c r="Y82" i="3"/>
  <c r="Q87" i="3"/>
  <c r="M86" i="3"/>
  <c r="S86" i="3"/>
  <c r="S29" i="3"/>
  <c r="Q30" i="3"/>
  <c r="M29" i="3"/>
  <c r="AE85" i="3"/>
  <c r="I85" i="3"/>
  <c r="L85" i="3"/>
  <c r="T29" i="3"/>
  <c r="R30" i="3"/>
  <c r="Z7" i="3"/>
  <c r="AH7" i="3"/>
  <c r="R87" i="3"/>
  <c r="T86" i="3"/>
  <c r="V26" i="3"/>
  <c r="AG26" i="3"/>
  <c r="AG83" i="3"/>
  <c r="V83" i="3"/>
  <c r="AB28" i="3"/>
  <c r="F28" i="3"/>
  <c r="F86" i="3" l="1"/>
  <c r="AB86" i="3"/>
  <c r="E87" i="3"/>
  <c r="H87" i="3"/>
  <c r="K87" i="3" s="1"/>
  <c r="AC87" i="3"/>
  <c r="G88" i="3"/>
  <c r="AE29" i="3"/>
  <c r="I29" i="3"/>
  <c r="L29" i="3"/>
  <c r="N86" i="3"/>
  <c r="P86" i="3" s="1"/>
  <c r="O86" i="3"/>
  <c r="AF86" i="3"/>
  <c r="T30" i="3"/>
  <c r="R31" i="3"/>
  <c r="U10" i="3"/>
  <c r="J10" i="3"/>
  <c r="W10" i="3"/>
  <c r="AD10" i="3"/>
  <c r="AD28" i="3"/>
  <c r="U28" i="3"/>
  <c r="J28" i="3"/>
  <c r="X9" i="3"/>
  <c r="Y9" i="3"/>
  <c r="X84" i="3"/>
  <c r="Y84" i="3"/>
  <c r="N11" i="3"/>
  <c r="P11" i="3" s="1"/>
  <c r="O11" i="3"/>
  <c r="AF11" i="3"/>
  <c r="AC30" i="3"/>
  <c r="E30" i="3"/>
  <c r="H30" i="3"/>
  <c r="G31" i="3"/>
  <c r="AH82" i="3"/>
  <c r="Z82" i="3"/>
  <c r="AD85" i="3"/>
  <c r="U85" i="3"/>
  <c r="W85" i="3" s="1"/>
  <c r="J85" i="3"/>
  <c r="M12" i="3"/>
  <c r="S12" i="3"/>
  <c r="K12" i="3"/>
  <c r="AG84" i="3"/>
  <c r="V84" i="3"/>
  <c r="AG9" i="3"/>
  <c r="V9" i="3"/>
  <c r="S87" i="3"/>
  <c r="Q88" i="3"/>
  <c r="M87" i="3"/>
  <c r="X27" i="3"/>
  <c r="Y27" i="3"/>
  <c r="AF29" i="3"/>
  <c r="N29" i="3"/>
  <c r="P29" i="3" s="1"/>
  <c r="O29" i="3"/>
  <c r="T87" i="3"/>
  <c r="R88" i="3"/>
  <c r="M30" i="3"/>
  <c r="S30" i="3"/>
  <c r="Q31" i="3"/>
  <c r="K30" i="3"/>
  <c r="AH8" i="3"/>
  <c r="Z8" i="3"/>
  <c r="Z83" i="3"/>
  <c r="AH83" i="3"/>
  <c r="AG27" i="3"/>
  <c r="V27" i="3"/>
  <c r="F29" i="3"/>
  <c r="AB29" i="3"/>
  <c r="AH26" i="3"/>
  <c r="Z26" i="3"/>
  <c r="T11" i="3"/>
  <c r="R12" i="3"/>
  <c r="T12" i="3" s="1"/>
  <c r="AE11" i="3"/>
  <c r="I11" i="3"/>
  <c r="L11" i="3"/>
  <c r="I86" i="3"/>
  <c r="L86" i="3"/>
  <c r="AE86" i="3"/>
  <c r="E88" i="3" l="1"/>
  <c r="AC88" i="3"/>
  <c r="G89" i="3"/>
  <c r="H88" i="3"/>
  <c r="K88" i="3" s="1"/>
  <c r="F87" i="3"/>
  <c r="AB87" i="3"/>
  <c r="X10" i="3"/>
  <c r="Y10" i="3"/>
  <c r="AG10" i="3"/>
  <c r="V10" i="3"/>
  <c r="M31" i="3"/>
  <c r="S31" i="3"/>
  <c r="Q32" i="3"/>
  <c r="X85" i="3"/>
  <c r="Y85" i="3"/>
  <c r="Z9" i="3"/>
  <c r="AH9" i="3"/>
  <c r="AE87" i="3"/>
  <c r="I87" i="3"/>
  <c r="L87" i="3"/>
  <c r="T31" i="3"/>
  <c r="R32" i="3"/>
  <c r="U86" i="3"/>
  <c r="W86" i="3" s="1"/>
  <c r="J86" i="3"/>
  <c r="AD86" i="3"/>
  <c r="R89" i="3"/>
  <c r="T88" i="3"/>
  <c r="H31" i="3"/>
  <c r="K31" i="3" s="1"/>
  <c r="G32" i="3"/>
  <c r="E31" i="3"/>
  <c r="AC31" i="3"/>
  <c r="AE30" i="3"/>
  <c r="I30" i="3"/>
  <c r="L30" i="3"/>
  <c r="M88" i="3"/>
  <c r="S88" i="3"/>
  <c r="Q89" i="3"/>
  <c r="AG28" i="3"/>
  <c r="V28" i="3"/>
  <c r="AH27" i="3"/>
  <c r="Z27" i="3"/>
  <c r="AF87" i="3"/>
  <c r="O87" i="3"/>
  <c r="N87" i="3"/>
  <c r="P87" i="3" s="1"/>
  <c r="AH84" i="3"/>
  <c r="Z84" i="3"/>
  <c r="AD11" i="3"/>
  <c r="U11" i="3"/>
  <c r="W11" i="3" s="1"/>
  <c r="J11" i="3"/>
  <c r="AB30" i="3"/>
  <c r="F30" i="3"/>
  <c r="U29" i="3"/>
  <c r="J29" i="3"/>
  <c r="W29" i="3"/>
  <c r="AD29" i="3"/>
  <c r="N12" i="3"/>
  <c r="P12" i="3" s="1"/>
  <c r="O12" i="3"/>
  <c r="AF12" i="3"/>
  <c r="AG85" i="3"/>
  <c r="V85" i="3"/>
  <c r="N30" i="3"/>
  <c r="P30" i="3" s="1"/>
  <c r="O30" i="3"/>
  <c r="AF30" i="3"/>
  <c r="L12" i="3"/>
  <c r="AE12" i="3"/>
  <c r="I12" i="3"/>
  <c r="W28" i="3"/>
  <c r="H89" i="3" l="1"/>
  <c r="AC89" i="3"/>
  <c r="E89" i="3"/>
  <c r="G90" i="3"/>
  <c r="AB88" i="3"/>
  <c r="F88" i="3"/>
  <c r="L31" i="3"/>
  <c r="AE31" i="3"/>
  <c r="I31" i="3"/>
  <c r="Z85" i="3"/>
  <c r="AH85" i="3"/>
  <c r="X11" i="3"/>
  <c r="Y11" i="3"/>
  <c r="AD30" i="3"/>
  <c r="U30" i="3"/>
  <c r="J30" i="3"/>
  <c r="L88" i="3"/>
  <c r="AE88" i="3"/>
  <c r="I88" i="3"/>
  <c r="S89" i="3"/>
  <c r="Q90" i="3"/>
  <c r="M89" i="3"/>
  <c r="K89" i="3"/>
  <c r="N88" i="3"/>
  <c r="P88" i="3" s="1"/>
  <c r="O88" i="3"/>
  <c r="AF88" i="3"/>
  <c r="X29" i="3"/>
  <c r="Y29" i="3"/>
  <c r="J12" i="3"/>
  <c r="AD12" i="3"/>
  <c r="U12" i="3"/>
  <c r="AG11" i="3"/>
  <c r="V11" i="3"/>
  <c r="AB31" i="3"/>
  <c r="F31" i="3"/>
  <c r="T89" i="3"/>
  <c r="R90" i="3"/>
  <c r="X86" i="3"/>
  <c r="Y86" i="3"/>
  <c r="V86" i="3"/>
  <c r="AG86" i="3"/>
  <c r="N31" i="3"/>
  <c r="P31" i="3" s="1"/>
  <c r="O31" i="3"/>
  <c r="AF31" i="3"/>
  <c r="AD87" i="3"/>
  <c r="U87" i="3"/>
  <c r="J87" i="3"/>
  <c r="AH10" i="3"/>
  <c r="Z10" i="3"/>
  <c r="S32" i="3"/>
  <c r="Q33" i="3"/>
  <c r="M32" i="3"/>
  <c r="K32" i="3"/>
  <c r="T32" i="3"/>
  <c r="R33" i="3"/>
  <c r="AG29" i="3"/>
  <c r="V29" i="3"/>
  <c r="X28" i="3"/>
  <c r="Y28" i="3"/>
  <c r="E32" i="3"/>
  <c r="H32" i="3"/>
  <c r="AC32" i="3"/>
  <c r="G33" i="3"/>
  <c r="AC90" i="3" l="1"/>
  <c r="E90" i="3"/>
  <c r="G91" i="3"/>
  <c r="H90" i="3"/>
  <c r="K90" i="3" s="1"/>
  <c r="AB89" i="3"/>
  <c r="F89" i="3"/>
  <c r="AG30" i="3"/>
  <c r="V30" i="3"/>
  <c r="AE32" i="3"/>
  <c r="I32" i="3"/>
  <c r="L32" i="3"/>
  <c r="Q34" i="3"/>
  <c r="M33" i="3"/>
  <c r="S33" i="3"/>
  <c r="W30" i="3"/>
  <c r="AC33" i="3"/>
  <c r="E33" i="3"/>
  <c r="H33" i="3"/>
  <c r="K33" i="3" s="1"/>
  <c r="G34" i="3"/>
  <c r="T33" i="3"/>
  <c r="R34" i="3"/>
  <c r="AH86" i="3"/>
  <c r="Z86" i="3"/>
  <c r="T90" i="3"/>
  <c r="R91" i="3"/>
  <c r="AG87" i="3"/>
  <c r="V87" i="3"/>
  <c r="O32" i="3"/>
  <c r="AF32" i="3"/>
  <c r="N32" i="3"/>
  <c r="P32" i="3" s="1"/>
  <c r="Z11" i="3"/>
  <c r="AH11" i="3"/>
  <c r="AB32" i="3"/>
  <c r="F32" i="3"/>
  <c r="Z28" i="3"/>
  <c r="AH28" i="3"/>
  <c r="V12" i="3"/>
  <c r="AG12" i="3"/>
  <c r="J31" i="3"/>
  <c r="AD31" i="3"/>
  <c r="U31" i="3"/>
  <c r="M90" i="3"/>
  <c r="S90" i="3"/>
  <c r="Q91" i="3"/>
  <c r="AD88" i="3"/>
  <c r="J88" i="3"/>
  <c r="U88" i="3"/>
  <c r="AH29" i="3"/>
  <c r="Z29" i="3"/>
  <c r="AE89" i="3"/>
  <c r="I89" i="3"/>
  <c r="L89" i="3"/>
  <c r="AF89" i="3"/>
  <c r="N89" i="3"/>
  <c r="P89" i="3" s="1"/>
  <c r="O89" i="3"/>
  <c r="W87" i="3"/>
  <c r="W12" i="3"/>
  <c r="H91" i="3" l="1"/>
  <c r="AC91" i="3"/>
  <c r="G92" i="3"/>
  <c r="E91" i="3"/>
  <c r="AB90" i="3"/>
  <c r="F90" i="3"/>
  <c r="N90" i="3"/>
  <c r="P90" i="3" s="1"/>
  <c r="O90" i="3"/>
  <c r="AF90" i="3"/>
  <c r="U89" i="3"/>
  <c r="J89" i="3"/>
  <c r="W89" i="3"/>
  <c r="AD89" i="3"/>
  <c r="T34" i="3"/>
  <c r="R35" i="3"/>
  <c r="AG31" i="3"/>
  <c r="V31" i="3"/>
  <c r="Q35" i="3"/>
  <c r="M34" i="3"/>
  <c r="S34" i="3"/>
  <c r="W31" i="3"/>
  <c r="X30" i="3"/>
  <c r="Y30" i="3"/>
  <c r="AE33" i="3"/>
  <c r="I33" i="3"/>
  <c r="L33" i="3"/>
  <c r="E34" i="3"/>
  <c r="H34" i="3"/>
  <c r="K34" i="3" s="1"/>
  <c r="G35" i="3"/>
  <c r="AC34" i="3"/>
  <c r="N33" i="3"/>
  <c r="P33" i="3" s="1"/>
  <c r="O33" i="3"/>
  <c r="AF33" i="3"/>
  <c r="AG88" i="3"/>
  <c r="V88" i="3"/>
  <c r="X12" i="3"/>
  <c r="Y12" i="3"/>
  <c r="W88" i="3"/>
  <c r="T91" i="3"/>
  <c r="R92" i="3"/>
  <c r="Q92" i="3"/>
  <c r="M91" i="3"/>
  <c r="S91" i="3"/>
  <c r="K91" i="3"/>
  <c r="AB33" i="3"/>
  <c r="F33" i="3"/>
  <c r="U32" i="3"/>
  <c r="W32" i="3" s="1"/>
  <c r="J32" i="3"/>
  <c r="AD32" i="3"/>
  <c r="X87" i="3"/>
  <c r="Y87" i="3"/>
  <c r="AE90" i="3"/>
  <c r="I90" i="3"/>
  <c r="L90" i="3"/>
  <c r="AC92" i="3" l="1"/>
  <c r="E92" i="3"/>
  <c r="G93" i="3"/>
  <c r="H92" i="3"/>
  <c r="K92" i="3" s="1"/>
  <c r="AB91" i="3"/>
  <c r="F91" i="3"/>
  <c r="I34" i="3"/>
  <c r="L34" i="3"/>
  <c r="AE34" i="3"/>
  <c r="J33" i="3"/>
  <c r="AD33" i="3"/>
  <c r="U33" i="3"/>
  <c r="W33" i="3" s="1"/>
  <c r="AD90" i="3"/>
  <c r="U90" i="3"/>
  <c r="J90" i="3"/>
  <c r="X32" i="3"/>
  <c r="Y32" i="3"/>
  <c r="S35" i="3"/>
  <c r="Q36" i="3"/>
  <c r="M35" i="3"/>
  <c r="Z12" i="3"/>
  <c r="AH12" i="3"/>
  <c r="X88" i="3"/>
  <c r="Y88" i="3"/>
  <c r="T35" i="3"/>
  <c r="R36" i="3"/>
  <c r="I91" i="3"/>
  <c r="L91" i="3"/>
  <c r="AE91" i="3"/>
  <c r="X89" i="3"/>
  <c r="Y89" i="3"/>
  <c r="N91" i="3"/>
  <c r="P91" i="3" s="1"/>
  <c r="O91" i="3"/>
  <c r="AF91" i="3"/>
  <c r="AG89" i="3"/>
  <c r="V89" i="3"/>
  <c r="S92" i="3"/>
  <c r="Q93" i="3"/>
  <c r="M92" i="3"/>
  <c r="AH87" i="3"/>
  <c r="Z87" i="3"/>
  <c r="T92" i="3"/>
  <c r="R93" i="3"/>
  <c r="G36" i="3"/>
  <c r="AC35" i="3"/>
  <c r="E35" i="3"/>
  <c r="H35" i="3"/>
  <c r="K35" i="3" s="1"/>
  <c r="AB34" i="3"/>
  <c r="F34" i="3"/>
  <c r="AG32" i="3"/>
  <c r="V32" i="3"/>
  <c r="Z30" i="3"/>
  <c r="AH30" i="3"/>
  <c r="X31" i="3"/>
  <c r="Y31" i="3"/>
  <c r="O34" i="3"/>
  <c r="AF34" i="3"/>
  <c r="N34" i="3"/>
  <c r="P34" i="3" s="1"/>
  <c r="H93" i="3" l="1"/>
  <c r="AC93" i="3"/>
  <c r="E93" i="3"/>
  <c r="G94" i="3"/>
  <c r="F92" i="3"/>
  <c r="AB92" i="3"/>
  <c r="L35" i="3"/>
  <c r="AE35" i="3"/>
  <c r="I35" i="3"/>
  <c r="X33" i="3"/>
  <c r="Y33" i="3"/>
  <c r="R94" i="3"/>
  <c r="T93" i="3"/>
  <c r="AH89" i="3"/>
  <c r="Z89" i="3"/>
  <c r="AG90" i="3"/>
  <c r="V90" i="3"/>
  <c r="O92" i="3"/>
  <c r="AF92" i="3"/>
  <c r="N92" i="3"/>
  <c r="P92" i="3" s="1"/>
  <c r="O35" i="3"/>
  <c r="AF35" i="3"/>
  <c r="N35" i="3"/>
  <c r="P35" i="3" s="1"/>
  <c r="AE92" i="3"/>
  <c r="I92" i="3"/>
  <c r="L92" i="3"/>
  <c r="R37" i="3"/>
  <c r="T36" i="3"/>
  <c r="U91" i="3"/>
  <c r="J91" i="3"/>
  <c r="W91" i="3"/>
  <c r="AD91" i="3"/>
  <c r="V33" i="3"/>
  <c r="AG33" i="3"/>
  <c r="Q94" i="3"/>
  <c r="M93" i="3"/>
  <c r="S93" i="3"/>
  <c r="K93" i="3"/>
  <c r="AB35" i="3"/>
  <c r="F35" i="3"/>
  <c r="S36" i="3"/>
  <c r="Q37" i="3"/>
  <c r="M36" i="3"/>
  <c r="Z88" i="3"/>
  <c r="AH88" i="3"/>
  <c r="AH32" i="3"/>
  <c r="Z32" i="3"/>
  <c r="Z31" i="3"/>
  <c r="AH31" i="3"/>
  <c r="G37" i="3"/>
  <c r="E36" i="3"/>
  <c r="AC36" i="3"/>
  <c r="H36" i="3"/>
  <c r="K36" i="3" s="1"/>
  <c r="W90" i="3"/>
  <c r="AD34" i="3"/>
  <c r="U34" i="3"/>
  <c r="J34" i="3"/>
  <c r="E94" i="3" l="1"/>
  <c r="H94" i="3"/>
  <c r="G95" i="3"/>
  <c r="AC94" i="3"/>
  <c r="AB93" i="3"/>
  <c r="F93" i="3"/>
  <c r="L36" i="3"/>
  <c r="AE36" i="3"/>
  <c r="I36" i="3"/>
  <c r="AD92" i="3"/>
  <c r="U92" i="3"/>
  <c r="W92" i="3" s="1"/>
  <c r="J92" i="3"/>
  <c r="S94" i="3"/>
  <c r="Q95" i="3"/>
  <c r="M94" i="3"/>
  <c r="K94" i="3"/>
  <c r="X91" i="3"/>
  <c r="Y91" i="3"/>
  <c r="E37" i="3"/>
  <c r="H37" i="3"/>
  <c r="K37" i="3" s="1"/>
  <c r="AC37" i="3"/>
  <c r="G38" i="3"/>
  <c r="AG34" i="3"/>
  <c r="V34" i="3"/>
  <c r="AD35" i="3"/>
  <c r="J35" i="3"/>
  <c r="U35" i="3"/>
  <c r="AB36" i="3"/>
  <c r="F36" i="3"/>
  <c r="T94" i="3"/>
  <c r="R95" i="3"/>
  <c r="AG91" i="3"/>
  <c r="V91" i="3"/>
  <c r="T37" i="3"/>
  <c r="R38" i="3"/>
  <c r="X90" i="3"/>
  <c r="Y90" i="3"/>
  <c r="AF36" i="3"/>
  <c r="N36" i="3"/>
  <c r="P36" i="3" s="1"/>
  <c r="O36" i="3"/>
  <c r="S37" i="3"/>
  <c r="Q38" i="3"/>
  <c r="M37" i="3"/>
  <c r="Z33" i="3"/>
  <c r="AH33" i="3"/>
  <c r="L93" i="3"/>
  <c r="AE93" i="3"/>
  <c r="I93" i="3"/>
  <c r="W34" i="3"/>
  <c r="N93" i="3"/>
  <c r="P93" i="3" s="1"/>
  <c r="O93" i="3"/>
  <c r="AF93" i="3"/>
  <c r="AC95" i="3" l="1"/>
  <c r="H95" i="3"/>
  <c r="E95" i="3"/>
  <c r="G96" i="3"/>
  <c r="F94" i="3"/>
  <c r="AB94" i="3"/>
  <c r="AF94" i="3"/>
  <c r="N94" i="3"/>
  <c r="P94" i="3" s="1"/>
  <c r="O94" i="3"/>
  <c r="X92" i="3"/>
  <c r="Y92" i="3"/>
  <c r="T95" i="3"/>
  <c r="R96" i="3"/>
  <c r="Z90" i="3"/>
  <c r="AH90" i="3"/>
  <c r="T38" i="3"/>
  <c r="R39" i="3"/>
  <c r="AC38" i="3"/>
  <c r="G39" i="3"/>
  <c r="E38" i="3"/>
  <c r="H38" i="3"/>
  <c r="K38" i="3" s="1"/>
  <c r="J93" i="3"/>
  <c r="AD93" i="3"/>
  <c r="U93" i="3"/>
  <c r="M38" i="3"/>
  <c r="S38" i="3"/>
  <c r="Q39" i="3"/>
  <c r="N37" i="3"/>
  <c r="P37" i="3" s="1"/>
  <c r="AF37" i="3"/>
  <c r="O37" i="3"/>
  <c r="J36" i="3"/>
  <c r="U36" i="3"/>
  <c r="AD36" i="3"/>
  <c r="AE94" i="3"/>
  <c r="I94" i="3"/>
  <c r="L94" i="3"/>
  <c r="M95" i="3"/>
  <c r="S95" i="3"/>
  <c r="Q96" i="3"/>
  <c r="K95" i="3"/>
  <c r="AG92" i="3"/>
  <c r="V92" i="3"/>
  <c r="AE37" i="3"/>
  <c r="I37" i="3"/>
  <c r="L37" i="3"/>
  <c r="X34" i="3"/>
  <c r="Y34" i="3"/>
  <c r="F37" i="3"/>
  <c r="AB37" i="3"/>
  <c r="AH91" i="3"/>
  <c r="Z91" i="3"/>
  <c r="V35" i="3"/>
  <c r="AG35" i="3"/>
  <c r="W35" i="3"/>
  <c r="G97" i="3" l="1"/>
  <c r="AC96" i="3"/>
  <c r="E96" i="3"/>
  <c r="H96" i="3"/>
  <c r="K96" i="3" s="1"/>
  <c r="AB95" i="3"/>
  <c r="F95" i="3"/>
  <c r="I38" i="3"/>
  <c r="L38" i="3"/>
  <c r="AE38" i="3"/>
  <c r="X35" i="3"/>
  <c r="Y35" i="3"/>
  <c r="L95" i="3"/>
  <c r="AE95" i="3"/>
  <c r="I95" i="3"/>
  <c r="V93" i="3"/>
  <c r="AG93" i="3"/>
  <c r="W93" i="3"/>
  <c r="V36" i="3"/>
  <c r="AG36" i="3"/>
  <c r="N95" i="3"/>
  <c r="P95" i="3" s="1"/>
  <c r="O95" i="3"/>
  <c r="AF95" i="3"/>
  <c r="W36" i="3"/>
  <c r="AH92" i="3"/>
  <c r="Z92" i="3"/>
  <c r="AH34" i="3"/>
  <c r="Z34" i="3"/>
  <c r="H39" i="3"/>
  <c r="G40" i="3"/>
  <c r="AC39" i="3"/>
  <c r="E39" i="3"/>
  <c r="N38" i="3"/>
  <c r="P38" i="3" s="1"/>
  <c r="O38" i="3"/>
  <c r="AF38" i="3"/>
  <c r="T96" i="3"/>
  <c r="R97" i="3"/>
  <c r="S96" i="3"/>
  <c r="Q97" i="3"/>
  <c r="M96" i="3"/>
  <c r="AB38" i="3"/>
  <c r="F38" i="3"/>
  <c r="AD94" i="3"/>
  <c r="U94" i="3"/>
  <c r="W94" i="3" s="1"/>
  <c r="J94" i="3"/>
  <c r="AD37" i="3"/>
  <c r="U37" i="3"/>
  <c r="W37" i="3" s="1"/>
  <c r="J37" i="3"/>
  <c r="Q40" i="3"/>
  <c r="M39" i="3"/>
  <c r="S39" i="3"/>
  <c r="K39" i="3"/>
  <c r="R40" i="3"/>
  <c r="T39" i="3"/>
  <c r="AB96" i="3" l="1"/>
  <c r="F96" i="3"/>
  <c r="H97" i="3"/>
  <c r="K97" i="3" s="1"/>
  <c r="AC97" i="3"/>
  <c r="E97" i="3"/>
  <c r="G98" i="3"/>
  <c r="F39" i="3"/>
  <c r="AB39" i="3"/>
  <c r="AG94" i="3"/>
  <c r="V94" i="3"/>
  <c r="T40" i="3"/>
  <c r="R41" i="3"/>
  <c r="AD95" i="3"/>
  <c r="U95" i="3"/>
  <c r="J95" i="3"/>
  <c r="W95" i="3"/>
  <c r="X93" i="3"/>
  <c r="Y93" i="3"/>
  <c r="I39" i="3"/>
  <c r="L39" i="3"/>
  <c r="AE39" i="3"/>
  <c r="S40" i="3"/>
  <c r="Q41" i="3"/>
  <c r="M40" i="3"/>
  <c r="T97" i="3"/>
  <c r="R98" i="3"/>
  <c r="N39" i="3"/>
  <c r="P39" i="3" s="1"/>
  <c r="O39" i="3"/>
  <c r="AF39" i="3"/>
  <c r="Z35" i="3"/>
  <c r="AH35" i="3"/>
  <c r="X37" i="3"/>
  <c r="Y37" i="3"/>
  <c r="AG37" i="3"/>
  <c r="V37" i="3"/>
  <c r="S97" i="3"/>
  <c r="Q98" i="3"/>
  <c r="M97" i="3"/>
  <c r="X94" i="3"/>
  <c r="Y94" i="3"/>
  <c r="X36" i="3"/>
  <c r="Y36" i="3"/>
  <c r="I96" i="3"/>
  <c r="L96" i="3"/>
  <c r="AE96" i="3"/>
  <c r="E40" i="3"/>
  <c r="H40" i="3"/>
  <c r="K40" i="3" s="1"/>
  <c r="G41" i="3"/>
  <c r="AC40" i="3"/>
  <c r="AF96" i="3"/>
  <c r="N96" i="3"/>
  <c r="P96" i="3" s="1"/>
  <c r="O96" i="3"/>
  <c r="U38" i="3"/>
  <c r="AD38" i="3"/>
  <c r="J38" i="3"/>
  <c r="F97" i="3" l="1"/>
  <c r="AB97" i="3"/>
  <c r="G99" i="3"/>
  <c r="AC98" i="3"/>
  <c r="H98" i="3"/>
  <c r="K98" i="3" s="1"/>
  <c r="E98" i="3"/>
  <c r="U96" i="3"/>
  <c r="J96" i="3"/>
  <c r="W96" i="3"/>
  <c r="AD96" i="3"/>
  <c r="V38" i="3"/>
  <c r="AG38" i="3"/>
  <c r="AH94" i="3"/>
  <c r="Z94" i="3"/>
  <c r="W38" i="3"/>
  <c r="M41" i="3"/>
  <c r="S41" i="3"/>
  <c r="Q42" i="3"/>
  <c r="AF40" i="3"/>
  <c r="N40" i="3"/>
  <c r="P40" i="3" s="1"/>
  <c r="O40" i="3"/>
  <c r="Z36" i="3"/>
  <c r="AH36" i="3"/>
  <c r="J39" i="3"/>
  <c r="AD39" i="3"/>
  <c r="U39" i="3"/>
  <c r="W39" i="3" s="1"/>
  <c r="AE97" i="3"/>
  <c r="I97" i="3"/>
  <c r="L97" i="3"/>
  <c r="Z93" i="3"/>
  <c r="AH93" i="3"/>
  <c r="N97" i="3"/>
  <c r="P97" i="3" s="1"/>
  <c r="O97" i="3"/>
  <c r="AF97" i="3"/>
  <c r="G42" i="3"/>
  <c r="AC41" i="3"/>
  <c r="E41" i="3"/>
  <c r="H41" i="3"/>
  <c r="K41" i="3" s="1"/>
  <c r="Q99" i="3"/>
  <c r="M98" i="3"/>
  <c r="S98" i="3"/>
  <c r="X95" i="3"/>
  <c r="Y95" i="3"/>
  <c r="AE40" i="3"/>
  <c r="I40" i="3"/>
  <c r="L40" i="3"/>
  <c r="Z37" i="3"/>
  <c r="AH37" i="3"/>
  <c r="T41" i="3"/>
  <c r="R42" i="3"/>
  <c r="T98" i="3"/>
  <c r="R99" i="3"/>
  <c r="F40" i="3"/>
  <c r="AB40" i="3"/>
  <c r="AG95" i="3"/>
  <c r="V95" i="3"/>
  <c r="AB98" i="3" l="1"/>
  <c r="F98" i="3"/>
  <c r="AC99" i="3"/>
  <c r="H99" i="3"/>
  <c r="K99" i="3" s="1"/>
  <c r="G100" i="3"/>
  <c r="E99" i="3"/>
  <c r="X39" i="3"/>
  <c r="Y39" i="3"/>
  <c r="L41" i="3"/>
  <c r="AE41" i="3"/>
  <c r="I41" i="3"/>
  <c r="N41" i="3"/>
  <c r="P41" i="3" s="1"/>
  <c r="O41" i="3"/>
  <c r="AF41" i="3"/>
  <c r="I98" i="3"/>
  <c r="L98" i="3"/>
  <c r="AE98" i="3"/>
  <c r="T99" i="3"/>
  <c r="R100" i="3"/>
  <c r="AB41" i="3"/>
  <c r="F41" i="3"/>
  <c r="H42" i="3"/>
  <c r="K42" i="3" s="1"/>
  <c r="G43" i="3"/>
  <c r="AC42" i="3"/>
  <c r="E42" i="3"/>
  <c r="X96" i="3"/>
  <c r="Y96" i="3"/>
  <c r="S42" i="3"/>
  <c r="Q43" i="3"/>
  <c r="M42" i="3"/>
  <c r="X38" i="3"/>
  <c r="Y38" i="3"/>
  <c r="Z95" i="3"/>
  <c r="AH95" i="3"/>
  <c r="AD97" i="3"/>
  <c r="U97" i="3"/>
  <c r="W97" i="3" s="1"/>
  <c r="J97" i="3"/>
  <c r="V39" i="3"/>
  <c r="AG39" i="3"/>
  <c r="AD40" i="3"/>
  <c r="U40" i="3"/>
  <c r="J40" i="3"/>
  <c r="W40" i="3"/>
  <c r="N98" i="3"/>
  <c r="P98" i="3" s="1"/>
  <c r="O98" i="3"/>
  <c r="AF98" i="3"/>
  <c r="T42" i="3"/>
  <c r="R43" i="3"/>
  <c r="S99" i="3"/>
  <c r="M99" i="3"/>
  <c r="Q100" i="3"/>
  <c r="AG96" i="3"/>
  <c r="V96" i="3"/>
  <c r="E100" i="3" l="1"/>
  <c r="AC100" i="3"/>
  <c r="H100" i="3"/>
  <c r="K100" i="3" s="1"/>
  <c r="G101" i="3"/>
  <c r="F99" i="3"/>
  <c r="AB99" i="3"/>
  <c r="I42" i="3"/>
  <c r="L42" i="3"/>
  <c r="AE42" i="3"/>
  <c r="X97" i="3"/>
  <c r="Y97" i="3"/>
  <c r="L99" i="3"/>
  <c r="I99" i="3"/>
  <c r="AE99" i="3"/>
  <c r="O99" i="3"/>
  <c r="N99" i="3"/>
  <c r="P99" i="3" s="1"/>
  <c r="AF99" i="3"/>
  <c r="AG40" i="3"/>
  <c r="V40" i="3"/>
  <c r="AG97" i="3"/>
  <c r="V97" i="3"/>
  <c r="S100" i="3"/>
  <c r="Q101" i="3"/>
  <c r="M100" i="3"/>
  <c r="AB42" i="3"/>
  <c r="F42" i="3"/>
  <c r="AD41" i="3"/>
  <c r="U41" i="3"/>
  <c r="W41" i="3" s="1"/>
  <c r="J41" i="3"/>
  <c r="T43" i="3"/>
  <c r="R44" i="3"/>
  <c r="AF42" i="3"/>
  <c r="N42" i="3"/>
  <c r="P42" i="3" s="1"/>
  <c r="O42" i="3"/>
  <c r="S43" i="3"/>
  <c r="Q44" i="3"/>
  <c r="M43" i="3"/>
  <c r="Z39" i="3"/>
  <c r="AH39" i="3"/>
  <c r="AH96" i="3"/>
  <c r="Z96" i="3"/>
  <c r="U98" i="3"/>
  <c r="J98" i="3"/>
  <c r="W98" i="3"/>
  <c r="AD98" i="3"/>
  <c r="X40" i="3"/>
  <c r="Y40" i="3"/>
  <c r="AH38" i="3"/>
  <c r="Z38" i="3"/>
  <c r="AC43" i="3"/>
  <c r="E43" i="3"/>
  <c r="H43" i="3"/>
  <c r="K43" i="3" s="1"/>
  <c r="G44" i="3"/>
  <c r="T100" i="3"/>
  <c r="R101" i="3"/>
  <c r="E101" i="3" l="1"/>
  <c r="H101" i="3"/>
  <c r="G102" i="3"/>
  <c r="AC101" i="3"/>
  <c r="AB100" i="3"/>
  <c r="F100" i="3"/>
  <c r="AE43" i="3"/>
  <c r="I43" i="3"/>
  <c r="L43" i="3"/>
  <c r="X41" i="3"/>
  <c r="Y41" i="3"/>
  <c r="X98" i="3"/>
  <c r="Y98" i="3"/>
  <c r="J99" i="3"/>
  <c r="U99" i="3"/>
  <c r="W99" i="3"/>
  <c r="AD99" i="3"/>
  <c r="G45" i="3"/>
  <c r="AC44" i="3"/>
  <c r="E44" i="3"/>
  <c r="H44" i="3"/>
  <c r="K44" i="3" s="1"/>
  <c r="AB43" i="3"/>
  <c r="F43" i="3"/>
  <c r="R45" i="3"/>
  <c r="T44" i="3"/>
  <c r="AG41" i="3"/>
  <c r="V41" i="3"/>
  <c r="N43" i="3"/>
  <c r="P43" i="3" s="1"/>
  <c r="O43" i="3"/>
  <c r="AF43" i="3"/>
  <c r="AH40" i="3"/>
  <c r="Z40" i="3"/>
  <c r="T101" i="3"/>
  <c r="R102" i="3"/>
  <c r="V98" i="3"/>
  <c r="AG98" i="3"/>
  <c r="AE100" i="3"/>
  <c r="I100" i="3"/>
  <c r="L100" i="3"/>
  <c r="AF100" i="3"/>
  <c r="N100" i="3"/>
  <c r="P100" i="3" s="1"/>
  <c r="O100" i="3"/>
  <c r="M101" i="3"/>
  <c r="Q102" i="3"/>
  <c r="S101" i="3"/>
  <c r="K101" i="3"/>
  <c r="Z97" i="3"/>
  <c r="AH97" i="3"/>
  <c r="Q45" i="3"/>
  <c r="M44" i="3"/>
  <c r="S44" i="3"/>
  <c r="U42" i="3"/>
  <c r="J42" i="3"/>
  <c r="W42" i="3"/>
  <c r="AD42" i="3"/>
  <c r="G103" i="3" l="1"/>
  <c r="E102" i="3"/>
  <c r="H102" i="3"/>
  <c r="AC102" i="3"/>
  <c r="AB101" i="3"/>
  <c r="F101" i="3"/>
  <c r="I44" i="3"/>
  <c r="L44" i="3"/>
  <c r="AE44" i="3"/>
  <c r="X99" i="3"/>
  <c r="Y99" i="3"/>
  <c r="AD100" i="3"/>
  <c r="U100" i="3"/>
  <c r="J100" i="3"/>
  <c r="W100" i="3"/>
  <c r="X42" i="3"/>
  <c r="Y42" i="3"/>
  <c r="T102" i="3"/>
  <c r="R103" i="3"/>
  <c r="AH98" i="3"/>
  <c r="Z98" i="3"/>
  <c r="AB44" i="3"/>
  <c r="F44" i="3"/>
  <c r="AC45" i="3"/>
  <c r="E45" i="3"/>
  <c r="H45" i="3"/>
  <c r="K45" i="3" s="1"/>
  <c r="G46" i="3"/>
  <c r="S45" i="3"/>
  <c r="Q46" i="3"/>
  <c r="M45" i="3"/>
  <c r="V99" i="3"/>
  <c r="AG99" i="3"/>
  <c r="L101" i="3"/>
  <c r="AE101" i="3"/>
  <c r="I101" i="3"/>
  <c r="S102" i="3"/>
  <c r="Q103" i="3"/>
  <c r="M102" i="3"/>
  <c r="K102" i="3"/>
  <c r="Z41" i="3"/>
  <c r="AH41" i="3"/>
  <c r="N101" i="3"/>
  <c r="P101" i="3" s="1"/>
  <c r="O101" i="3"/>
  <c r="AF101" i="3"/>
  <c r="AD43" i="3"/>
  <c r="U43" i="3"/>
  <c r="J43" i="3"/>
  <c r="W43" i="3"/>
  <c r="N44" i="3"/>
  <c r="P44" i="3" s="1"/>
  <c r="O44" i="3"/>
  <c r="AF44" i="3"/>
  <c r="T45" i="3"/>
  <c r="R46" i="3"/>
  <c r="AG42" i="3"/>
  <c r="V42" i="3"/>
  <c r="AB102" i="3" l="1"/>
  <c r="F102" i="3"/>
  <c r="E103" i="3"/>
  <c r="AC103" i="3"/>
  <c r="H103" i="3"/>
  <c r="K103" i="3" s="1"/>
  <c r="G104" i="3"/>
  <c r="AF102" i="3"/>
  <c r="N102" i="3"/>
  <c r="P102" i="3" s="1"/>
  <c r="O102" i="3"/>
  <c r="AE45" i="3"/>
  <c r="I45" i="3"/>
  <c r="L45" i="3"/>
  <c r="G47" i="3"/>
  <c r="AC46" i="3"/>
  <c r="E46" i="3"/>
  <c r="H46" i="3"/>
  <c r="R47" i="3"/>
  <c r="T46" i="3"/>
  <c r="T103" i="3"/>
  <c r="R104" i="3"/>
  <c r="X100" i="3"/>
  <c r="Y100" i="3"/>
  <c r="AF45" i="3"/>
  <c r="N45" i="3"/>
  <c r="P45" i="3" s="1"/>
  <c r="O45" i="3"/>
  <c r="M46" i="3"/>
  <c r="S46" i="3"/>
  <c r="Q47" i="3"/>
  <c r="K46" i="3"/>
  <c r="Z99" i="3"/>
  <c r="AH99" i="3"/>
  <c r="F45" i="3"/>
  <c r="AB45" i="3"/>
  <c r="AG100" i="3"/>
  <c r="V100" i="3"/>
  <c r="I102" i="3"/>
  <c r="L102" i="3"/>
  <c r="AE102" i="3"/>
  <c r="M103" i="3"/>
  <c r="S103" i="3"/>
  <c r="Q104" i="3"/>
  <c r="X43" i="3"/>
  <c r="Y43" i="3"/>
  <c r="J101" i="3"/>
  <c r="AD101" i="3"/>
  <c r="U101" i="3"/>
  <c r="W101" i="3" s="1"/>
  <c r="AG43" i="3"/>
  <c r="V43" i="3"/>
  <c r="AH42" i="3"/>
  <c r="Z42" i="3"/>
  <c r="U44" i="3"/>
  <c r="W44" i="3" s="1"/>
  <c r="J44" i="3"/>
  <c r="AD44" i="3"/>
  <c r="AC104" i="3" l="1"/>
  <c r="H104" i="3"/>
  <c r="K104" i="3" s="1"/>
  <c r="E104" i="3"/>
  <c r="G105" i="3"/>
  <c r="F103" i="3"/>
  <c r="AB103" i="3"/>
  <c r="X101" i="3"/>
  <c r="Y101" i="3"/>
  <c r="X44" i="3"/>
  <c r="Y44" i="3"/>
  <c r="Q105" i="3"/>
  <c r="M104" i="3"/>
  <c r="S104" i="3"/>
  <c r="AB46" i="3"/>
  <c r="F46" i="3"/>
  <c r="AD45" i="3"/>
  <c r="U45" i="3"/>
  <c r="J45" i="3"/>
  <c r="Z43" i="3"/>
  <c r="AH43" i="3"/>
  <c r="V44" i="3"/>
  <c r="AG44" i="3"/>
  <c r="N46" i="3"/>
  <c r="P46" i="3" s="1"/>
  <c r="O46" i="3"/>
  <c r="AF46" i="3"/>
  <c r="H47" i="3"/>
  <c r="K47" i="3" s="1"/>
  <c r="G48" i="3"/>
  <c r="AC47" i="3"/>
  <c r="E47" i="3"/>
  <c r="AH100" i="3"/>
  <c r="Z100" i="3"/>
  <c r="N103" i="3"/>
  <c r="P103" i="3" s="1"/>
  <c r="O103" i="3"/>
  <c r="AF103" i="3"/>
  <c r="U102" i="3"/>
  <c r="W102" i="3" s="1"/>
  <c r="J102" i="3"/>
  <c r="AD102" i="3"/>
  <c r="L46" i="3"/>
  <c r="AE46" i="3"/>
  <c r="I46" i="3"/>
  <c r="T47" i="3"/>
  <c r="R48" i="3"/>
  <c r="L103" i="3"/>
  <c r="AE103" i="3"/>
  <c r="I103" i="3"/>
  <c r="R105" i="3"/>
  <c r="T104" i="3"/>
  <c r="V101" i="3"/>
  <c r="AG101" i="3"/>
  <c r="S47" i="3"/>
  <c r="Q48" i="3"/>
  <c r="M47" i="3"/>
  <c r="AC105" i="3" l="1"/>
  <c r="G106" i="3"/>
  <c r="H105" i="3"/>
  <c r="E105" i="3"/>
  <c r="AB104" i="3"/>
  <c r="F104" i="3"/>
  <c r="AG45" i="3"/>
  <c r="V45" i="3"/>
  <c r="AE47" i="3"/>
  <c r="I47" i="3"/>
  <c r="L47" i="3"/>
  <c r="AF47" i="3"/>
  <c r="N47" i="3"/>
  <c r="P47" i="3" s="1"/>
  <c r="O47" i="3"/>
  <c r="I104" i="3"/>
  <c r="L104" i="3"/>
  <c r="AE104" i="3"/>
  <c r="N104" i="3"/>
  <c r="P104" i="3" s="1"/>
  <c r="O104" i="3"/>
  <c r="AF104" i="3"/>
  <c r="T48" i="3"/>
  <c r="R49" i="3"/>
  <c r="AD46" i="3"/>
  <c r="J46" i="3"/>
  <c r="U46" i="3"/>
  <c r="AC48" i="3"/>
  <c r="E48" i="3"/>
  <c r="H48" i="3"/>
  <c r="K48" i="3" s="1"/>
  <c r="G49" i="3"/>
  <c r="X102" i="3"/>
  <c r="Y102" i="3"/>
  <c r="S105" i="3"/>
  <c r="Q106" i="3"/>
  <c r="M105" i="3"/>
  <c r="K105" i="3"/>
  <c r="T105" i="3"/>
  <c r="R106" i="3"/>
  <c r="F47" i="3"/>
  <c r="AB47" i="3"/>
  <c r="M48" i="3"/>
  <c r="S48" i="3"/>
  <c r="Q49" i="3"/>
  <c r="AH44" i="3"/>
  <c r="Z44" i="3"/>
  <c r="W45" i="3"/>
  <c r="Z101" i="3"/>
  <c r="AH101" i="3"/>
  <c r="AG102" i="3"/>
  <c r="V102" i="3"/>
  <c r="AD103" i="3"/>
  <c r="U103" i="3"/>
  <c r="J103" i="3"/>
  <c r="W103" i="3"/>
  <c r="F105" i="3" l="1"/>
  <c r="AB105" i="3"/>
  <c r="AC106" i="3"/>
  <c r="H106" i="3"/>
  <c r="E106" i="3"/>
  <c r="G107" i="3"/>
  <c r="AE48" i="3"/>
  <c r="I48" i="3"/>
  <c r="L48" i="3"/>
  <c r="X45" i="3"/>
  <c r="Y45" i="3"/>
  <c r="AB48" i="3"/>
  <c r="F48" i="3"/>
  <c r="AG46" i="3"/>
  <c r="V46" i="3"/>
  <c r="R107" i="3"/>
  <c r="T106" i="3"/>
  <c r="U47" i="3"/>
  <c r="J47" i="3"/>
  <c r="AD47" i="3"/>
  <c r="U104" i="3"/>
  <c r="J104" i="3"/>
  <c r="W104" i="3"/>
  <c r="AD104" i="3"/>
  <c r="AE105" i="3"/>
  <c r="I105" i="3"/>
  <c r="L105" i="3"/>
  <c r="N48" i="3"/>
  <c r="P48" i="3" s="1"/>
  <c r="O48" i="3"/>
  <c r="AF48" i="3"/>
  <c r="X103" i="3"/>
  <c r="Y103" i="3"/>
  <c r="AG103" i="3"/>
  <c r="V103" i="3"/>
  <c r="Q50" i="3"/>
  <c r="M49" i="3"/>
  <c r="S49" i="3"/>
  <c r="AF105" i="3"/>
  <c r="O105" i="3"/>
  <c r="N105" i="3"/>
  <c r="P105" i="3" s="1"/>
  <c r="Q107" i="3"/>
  <c r="M106" i="3"/>
  <c r="S106" i="3"/>
  <c r="K106" i="3"/>
  <c r="T49" i="3"/>
  <c r="R50" i="3"/>
  <c r="AH102" i="3"/>
  <c r="Z102" i="3"/>
  <c r="W46" i="3"/>
  <c r="H49" i="3"/>
  <c r="K49" i="3" s="1"/>
  <c r="G50" i="3"/>
  <c r="AC49" i="3"/>
  <c r="E49" i="3"/>
  <c r="H107" i="3" l="1"/>
  <c r="G108" i="3"/>
  <c r="AC107" i="3"/>
  <c r="E107" i="3"/>
  <c r="F106" i="3"/>
  <c r="AB106" i="3"/>
  <c r="AB49" i="3"/>
  <c r="F49" i="3"/>
  <c r="S50" i="3"/>
  <c r="Q51" i="3"/>
  <c r="M50" i="3"/>
  <c r="V104" i="3"/>
  <c r="AG104" i="3"/>
  <c r="AD105" i="3"/>
  <c r="U105" i="3"/>
  <c r="J105" i="3"/>
  <c r="T50" i="3"/>
  <c r="R51" i="3"/>
  <c r="L106" i="3"/>
  <c r="I106" i="3"/>
  <c r="AE106" i="3"/>
  <c r="Z103" i="3"/>
  <c r="AH103" i="3"/>
  <c r="I49" i="3"/>
  <c r="L49" i="3"/>
  <c r="AE49" i="3"/>
  <c r="N49" i="3"/>
  <c r="P49" i="3" s="1"/>
  <c r="O49" i="3"/>
  <c r="AF49" i="3"/>
  <c r="AC50" i="3"/>
  <c r="E50" i="3"/>
  <c r="H50" i="3"/>
  <c r="K50" i="3" s="1"/>
  <c r="G51" i="3"/>
  <c r="X104" i="3"/>
  <c r="Y104" i="3"/>
  <c r="AH45" i="3"/>
  <c r="Z45" i="3"/>
  <c r="X46" i="3"/>
  <c r="Y46" i="3"/>
  <c r="AD48" i="3"/>
  <c r="U48" i="3"/>
  <c r="J48" i="3"/>
  <c r="W48" i="3"/>
  <c r="AG47" i="3"/>
  <c r="V47" i="3"/>
  <c r="T107" i="3"/>
  <c r="R108" i="3"/>
  <c r="N106" i="3"/>
  <c r="P106" i="3" s="1"/>
  <c r="O106" i="3"/>
  <c r="AF106" i="3"/>
  <c r="W47" i="3"/>
  <c r="S107" i="3"/>
  <c r="Q108" i="3"/>
  <c r="M107" i="3"/>
  <c r="K107" i="3"/>
  <c r="AB107" i="3" l="1"/>
  <c r="F107" i="3"/>
  <c r="AC108" i="3"/>
  <c r="H108" i="3"/>
  <c r="G109" i="3"/>
  <c r="E108" i="3"/>
  <c r="AG105" i="3"/>
  <c r="V105" i="3"/>
  <c r="AH104" i="3"/>
  <c r="Z104" i="3"/>
  <c r="AF107" i="3"/>
  <c r="N107" i="3"/>
  <c r="P107" i="3" s="1"/>
  <c r="O107" i="3"/>
  <c r="U49" i="3"/>
  <c r="J49" i="3"/>
  <c r="W49" i="3"/>
  <c r="AD49" i="3"/>
  <c r="M108" i="3"/>
  <c r="S108" i="3"/>
  <c r="Q109" i="3"/>
  <c r="K108" i="3"/>
  <c r="AB50" i="3"/>
  <c r="F50" i="3"/>
  <c r="AE107" i="3"/>
  <c r="I107" i="3"/>
  <c r="L107" i="3"/>
  <c r="G52" i="3"/>
  <c r="AC51" i="3"/>
  <c r="E51" i="3"/>
  <c r="H51" i="3"/>
  <c r="K51" i="3" s="1"/>
  <c r="U106" i="3"/>
  <c r="W106" i="3" s="1"/>
  <c r="J106" i="3"/>
  <c r="AD106" i="3"/>
  <c r="W105" i="3"/>
  <c r="R109" i="3"/>
  <c r="T108" i="3"/>
  <c r="AE50" i="3"/>
  <c r="I50" i="3"/>
  <c r="L50" i="3"/>
  <c r="O50" i="3"/>
  <c r="AF50" i="3"/>
  <c r="N50" i="3"/>
  <c r="P50" i="3" s="1"/>
  <c r="X48" i="3"/>
  <c r="Y48" i="3"/>
  <c r="Q52" i="3"/>
  <c r="M51" i="3"/>
  <c r="S51" i="3"/>
  <c r="AG48" i="3"/>
  <c r="V48" i="3"/>
  <c r="R52" i="3"/>
  <c r="T51" i="3"/>
  <c r="X47" i="3"/>
  <c r="Y47" i="3"/>
  <c r="Z46" i="3"/>
  <c r="AH46" i="3"/>
  <c r="AB108" i="3" l="1"/>
  <c r="F108" i="3"/>
  <c r="H109" i="3"/>
  <c r="AC109" i="3"/>
  <c r="E109" i="3"/>
  <c r="G110" i="3"/>
  <c r="X106" i="3"/>
  <c r="Y106" i="3"/>
  <c r="L51" i="3"/>
  <c r="AE51" i="3"/>
  <c r="I51" i="3"/>
  <c r="AD107" i="3"/>
  <c r="U107" i="3"/>
  <c r="J107" i="3"/>
  <c r="W107" i="3"/>
  <c r="S52" i="3"/>
  <c r="Q53" i="3"/>
  <c r="M52" i="3"/>
  <c r="Z48" i="3"/>
  <c r="AH48" i="3"/>
  <c r="AB51" i="3"/>
  <c r="F51" i="3"/>
  <c r="T52" i="3"/>
  <c r="R53" i="3"/>
  <c r="E52" i="3"/>
  <c r="H52" i="3"/>
  <c r="K52" i="3" s="1"/>
  <c r="G53" i="3"/>
  <c r="AC52" i="3"/>
  <c r="X49" i="3"/>
  <c r="Y49" i="3"/>
  <c r="AH47" i="3"/>
  <c r="Z47" i="3"/>
  <c r="N108" i="3"/>
  <c r="P108" i="3" s="1"/>
  <c r="O108" i="3"/>
  <c r="AF108" i="3"/>
  <c r="AG49" i="3"/>
  <c r="V49" i="3"/>
  <c r="AD50" i="3"/>
  <c r="U50" i="3"/>
  <c r="J50" i="3"/>
  <c r="W50" i="3"/>
  <c r="T109" i="3"/>
  <c r="R110" i="3"/>
  <c r="Q110" i="3"/>
  <c r="M109" i="3"/>
  <c r="S109" i="3"/>
  <c r="K109" i="3"/>
  <c r="V106" i="3"/>
  <c r="AG106" i="3"/>
  <c r="AE108" i="3"/>
  <c r="L108" i="3"/>
  <c r="I108" i="3"/>
  <c r="N51" i="3"/>
  <c r="P51" i="3" s="1"/>
  <c r="O51" i="3"/>
  <c r="AF51" i="3"/>
  <c r="X105" i="3"/>
  <c r="Y105" i="3"/>
  <c r="F109" i="3" l="1"/>
  <c r="AB109" i="3"/>
  <c r="E110" i="3"/>
  <c r="H110" i="3"/>
  <c r="K110" i="3" s="1"/>
  <c r="AC110" i="3"/>
  <c r="G111" i="3"/>
  <c r="AE52" i="3"/>
  <c r="I52" i="3"/>
  <c r="L52" i="3"/>
  <c r="Z105" i="3"/>
  <c r="AH105" i="3"/>
  <c r="M53" i="3"/>
  <c r="S53" i="3"/>
  <c r="Q54" i="3"/>
  <c r="G54" i="3"/>
  <c r="AC53" i="3"/>
  <c r="E53" i="3"/>
  <c r="H53" i="3"/>
  <c r="K53" i="3" s="1"/>
  <c r="T110" i="3"/>
  <c r="R111" i="3"/>
  <c r="X50" i="3"/>
  <c r="Y50" i="3"/>
  <c r="AF52" i="3"/>
  <c r="N52" i="3"/>
  <c r="P52" i="3" s="1"/>
  <c r="O52" i="3"/>
  <c r="X107" i="3"/>
  <c r="Y107" i="3"/>
  <c r="AD108" i="3"/>
  <c r="U108" i="3"/>
  <c r="W108" i="3" s="1"/>
  <c r="J108" i="3"/>
  <c r="J51" i="3"/>
  <c r="AD51" i="3"/>
  <c r="U51" i="3"/>
  <c r="W51" i="3" s="1"/>
  <c r="F52" i="3"/>
  <c r="AB52" i="3"/>
  <c r="AG107" i="3"/>
  <c r="V107" i="3"/>
  <c r="AG50" i="3"/>
  <c r="V50" i="3"/>
  <c r="AH49" i="3"/>
  <c r="Z49" i="3"/>
  <c r="Z106" i="3"/>
  <c r="AH106" i="3"/>
  <c r="I109" i="3"/>
  <c r="L109" i="3"/>
  <c r="AE109" i="3"/>
  <c r="AF109" i="3"/>
  <c r="N109" i="3"/>
  <c r="P109" i="3" s="1"/>
  <c r="O109" i="3"/>
  <c r="S110" i="3"/>
  <c r="Q111" i="3"/>
  <c r="M110" i="3"/>
  <c r="T53" i="3"/>
  <c r="R54" i="3"/>
  <c r="F110" i="3" l="1"/>
  <c r="AB110" i="3"/>
  <c r="H111" i="3"/>
  <c r="K111" i="3" s="1"/>
  <c r="AC111" i="3"/>
  <c r="E111" i="3"/>
  <c r="G112" i="3"/>
  <c r="X108" i="3"/>
  <c r="Y108" i="3"/>
  <c r="O110" i="3"/>
  <c r="N110" i="3"/>
  <c r="P110" i="3" s="1"/>
  <c r="AF110" i="3"/>
  <c r="Q112" i="3"/>
  <c r="M111" i="3"/>
  <c r="S111" i="3"/>
  <c r="T54" i="3"/>
  <c r="R55" i="3"/>
  <c r="L53" i="3"/>
  <c r="AE53" i="3"/>
  <c r="I53" i="3"/>
  <c r="S54" i="3"/>
  <c r="Q55" i="3"/>
  <c r="M54" i="3"/>
  <c r="K54" i="3"/>
  <c r="N53" i="3"/>
  <c r="P53" i="3" s="1"/>
  <c r="O53" i="3"/>
  <c r="AF53" i="3"/>
  <c r="AE110" i="3"/>
  <c r="I110" i="3"/>
  <c r="L110" i="3"/>
  <c r="AG108" i="3"/>
  <c r="V108" i="3"/>
  <c r="AB53" i="3"/>
  <c r="F53" i="3"/>
  <c r="X51" i="3"/>
  <c r="Y51" i="3"/>
  <c r="AD52" i="3"/>
  <c r="U52" i="3"/>
  <c r="W52" i="3" s="1"/>
  <c r="J52" i="3"/>
  <c r="H54" i="3"/>
  <c r="G55" i="3"/>
  <c r="AC54" i="3"/>
  <c r="E54" i="3"/>
  <c r="AH107" i="3"/>
  <c r="Z107" i="3"/>
  <c r="R112" i="3"/>
  <c r="T111" i="3"/>
  <c r="V51" i="3"/>
  <c r="AG51" i="3"/>
  <c r="U109" i="3"/>
  <c r="J109" i="3"/>
  <c r="AD109" i="3"/>
  <c r="AH50" i="3"/>
  <c r="Z50" i="3"/>
  <c r="H112" i="3" l="1"/>
  <c r="K112" i="3" s="1"/>
  <c r="AC112" i="3"/>
  <c r="G113" i="3"/>
  <c r="E112" i="3"/>
  <c r="AB111" i="3"/>
  <c r="F111" i="3"/>
  <c r="AD110" i="3"/>
  <c r="U110" i="3"/>
  <c r="J110" i="3"/>
  <c r="W110" i="3"/>
  <c r="AG109" i="3"/>
  <c r="V109" i="3"/>
  <c r="AB54" i="3"/>
  <c r="F54" i="3"/>
  <c r="S55" i="3"/>
  <c r="Q56" i="3"/>
  <c r="M55" i="3"/>
  <c r="T55" i="3"/>
  <c r="R56" i="3"/>
  <c r="I111" i="3"/>
  <c r="L111" i="3"/>
  <c r="AE111" i="3"/>
  <c r="W109" i="3"/>
  <c r="N111" i="3"/>
  <c r="P111" i="3" s="1"/>
  <c r="O111" i="3"/>
  <c r="AF111" i="3"/>
  <c r="I54" i="3"/>
  <c r="L54" i="3"/>
  <c r="AE54" i="3"/>
  <c r="S112" i="3"/>
  <c r="Q113" i="3"/>
  <c r="M112" i="3"/>
  <c r="AC55" i="3"/>
  <c r="E55" i="3"/>
  <c r="H55" i="3"/>
  <c r="K55" i="3" s="1"/>
  <c r="G56" i="3"/>
  <c r="AF54" i="3"/>
  <c r="N54" i="3"/>
  <c r="P54" i="3" s="1"/>
  <c r="O54" i="3"/>
  <c r="AD53" i="3"/>
  <c r="U53" i="3"/>
  <c r="J53" i="3"/>
  <c r="W53" i="3"/>
  <c r="Z108" i="3"/>
  <c r="AH108" i="3"/>
  <c r="Z51" i="3"/>
  <c r="AH51" i="3"/>
  <c r="X52" i="3"/>
  <c r="Y52" i="3"/>
  <c r="T112" i="3"/>
  <c r="R113" i="3"/>
  <c r="AG52" i="3"/>
  <c r="V52" i="3"/>
  <c r="AC113" i="3" l="1"/>
  <c r="E113" i="3"/>
  <c r="H113" i="3"/>
  <c r="G114" i="3"/>
  <c r="AB112" i="3"/>
  <c r="F112" i="3"/>
  <c r="AH52" i="3"/>
  <c r="Z52" i="3"/>
  <c r="Q57" i="3"/>
  <c r="M56" i="3"/>
  <c r="S56" i="3"/>
  <c r="X53" i="3"/>
  <c r="Y53" i="3"/>
  <c r="AE55" i="3"/>
  <c r="I55" i="3"/>
  <c r="L55" i="3"/>
  <c r="G57" i="3"/>
  <c r="AC56" i="3"/>
  <c r="E56" i="3"/>
  <c r="H56" i="3"/>
  <c r="K56" i="3" s="1"/>
  <c r="X109" i="3"/>
  <c r="Y109" i="3"/>
  <c r="AF112" i="3"/>
  <c r="O112" i="3"/>
  <c r="N112" i="3"/>
  <c r="P112" i="3" s="1"/>
  <c r="U54" i="3"/>
  <c r="J54" i="3"/>
  <c r="W54" i="3"/>
  <c r="AD54" i="3"/>
  <c r="X110" i="3"/>
  <c r="Y110" i="3"/>
  <c r="R114" i="3"/>
  <c r="T113" i="3"/>
  <c r="AG110" i="3"/>
  <c r="V110" i="3"/>
  <c r="N55" i="3"/>
  <c r="P55" i="3" s="1"/>
  <c r="O55" i="3"/>
  <c r="AF55" i="3"/>
  <c r="AB55" i="3"/>
  <c r="F55" i="3"/>
  <c r="AE112" i="3"/>
  <c r="I112" i="3"/>
  <c r="L112" i="3"/>
  <c r="J111" i="3"/>
  <c r="AD111" i="3"/>
  <c r="U111" i="3"/>
  <c r="W111" i="3" s="1"/>
  <c r="AG53" i="3"/>
  <c r="V53" i="3"/>
  <c r="Q114" i="3"/>
  <c r="M113" i="3"/>
  <c r="S113" i="3"/>
  <c r="K113" i="3"/>
  <c r="R57" i="3"/>
  <c r="T56" i="3"/>
  <c r="AC114" i="3" l="1"/>
  <c r="H114" i="3"/>
  <c r="K114" i="3" s="1"/>
  <c r="E114" i="3"/>
  <c r="G115" i="3"/>
  <c r="AB113" i="3"/>
  <c r="F113" i="3"/>
  <c r="I56" i="3"/>
  <c r="L56" i="3"/>
  <c r="AE56" i="3"/>
  <c r="AD112" i="3"/>
  <c r="U112" i="3"/>
  <c r="W112" i="3" s="1"/>
  <c r="J112" i="3"/>
  <c r="AD55" i="3"/>
  <c r="U55" i="3"/>
  <c r="J55" i="3"/>
  <c r="W55" i="3"/>
  <c r="T114" i="3"/>
  <c r="R115" i="3"/>
  <c r="Z53" i="3"/>
  <c r="AH53" i="3"/>
  <c r="S114" i="3"/>
  <c r="Q115" i="3"/>
  <c r="M114" i="3"/>
  <c r="X111" i="3"/>
  <c r="Y111" i="3"/>
  <c r="Z110" i="3"/>
  <c r="AH110" i="3"/>
  <c r="L113" i="3"/>
  <c r="AE113" i="3"/>
  <c r="I113" i="3"/>
  <c r="X54" i="3"/>
  <c r="Y54" i="3"/>
  <c r="N113" i="3"/>
  <c r="P113" i="3" s="1"/>
  <c r="O113" i="3"/>
  <c r="AF113" i="3"/>
  <c r="AG54" i="3"/>
  <c r="V54" i="3"/>
  <c r="T57" i="3"/>
  <c r="R58" i="3"/>
  <c r="AB56" i="3"/>
  <c r="F56" i="3"/>
  <c r="S57" i="3"/>
  <c r="Q58" i="3"/>
  <c r="M57" i="3"/>
  <c r="AC57" i="3"/>
  <c r="E57" i="3"/>
  <c r="H57" i="3"/>
  <c r="K57" i="3" s="1"/>
  <c r="G58" i="3"/>
  <c r="N56" i="3"/>
  <c r="P56" i="3" s="1"/>
  <c r="O56" i="3"/>
  <c r="AF56" i="3"/>
  <c r="V111" i="3"/>
  <c r="AG111" i="3"/>
  <c r="AH109" i="3"/>
  <c r="Z109" i="3"/>
  <c r="E115" i="3" l="1"/>
  <c r="H115" i="3"/>
  <c r="K115" i="3" s="1"/>
  <c r="AC115" i="3"/>
  <c r="G116" i="3"/>
  <c r="AB114" i="3"/>
  <c r="F114" i="3"/>
  <c r="AE57" i="3"/>
  <c r="I57" i="3"/>
  <c r="L57" i="3"/>
  <c r="X55" i="3"/>
  <c r="Y55" i="3"/>
  <c r="AH111" i="3"/>
  <c r="Z111" i="3"/>
  <c r="G59" i="3"/>
  <c r="AC58" i="3"/>
  <c r="E58" i="3"/>
  <c r="H58" i="3"/>
  <c r="K58" i="3" s="1"/>
  <c r="I114" i="3"/>
  <c r="AE114" i="3"/>
  <c r="L114" i="3"/>
  <c r="R59" i="3"/>
  <c r="T58" i="3"/>
  <c r="F57" i="3"/>
  <c r="AB57" i="3"/>
  <c r="AF114" i="3"/>
  <c r="N114" i="3"/>
  <c r="P114" i="3" s="1"/>
  <c r="O114" i="3"/>
  <c r="AG112" i="3"/>
  <c r="V112" i="3"/>
  <c r="AH54" i="3"/>
  <c r="Z54" i="3"/>
  <c r="AG55" i="3"/>
  <c r="V55" i="3"/>
  <c r="S115" i="3"/>
  <c r="Q116" i="3"/>
  <c r="M115" i="3"/>
  <c r="AF57" i="3"/>
  <c r="N57" i="3"/>
  <c r="P57" i="3" s="1"/>
  <c r="O57" i="3"/>
  <c r="AD113" i="3"/>
  <c r="J113" i="3"/>
  <c r="U113" i="3"/>
  <c r="X112" i="3"/>
  <c r="Y112" i="3"/>
  <c r="M58" i="3"/>
  <c r="S58" i="3"/>
  <c r="Q59" i="3"/>
  <c r="T115" i="3"/>
  <c r="R116" i="3"/>
  <c r="U56" i="3"/>
  <c r="J56" i="3"/>
  <c r="W56" i="3"/>
  <c r="AD56" i="3"/>
  <c r="AC116" i="3" l="1"/>
  <c r="G117" i="3"/>
  <c r="E116" i="3"/>
  <c r="H116" i="3"/>
  <c r="F115" i="3"/>
  <c r="AB115" i="3"/>
  <c r="L58" i="3"/>
  <c r="AE58" i="3"/>
  <c r="I58" i="3"/>
  <c r="X56" i="3"/>
  <c r="Y56" i="3"/>
  <c r="N115" i="3"/>
  <c r="P115" i="3" s="1"/>
  <c r="O115" i="3"/>
  <c r="AF115" i="3"/>
  <c r="Q117" i="3"/>
  <c r="M116" i="3"/>
  <c r="S116" i="3"/>
  <c r="K116" i="3"/>
  <c r="AH112" i="3"/>
  <c r="Z112" i="3"/>
  <c r="T59" i="3"/>
  <c r="R60" i="3"/>
  <c r="AB58" i="3"/>
  <c r="F58" i="3"/>
  <c r="AE115" i="3"/>
  <c r="L115" i="3"/>
  <c r="I115" i="3"/>
  <c r="V113" i="3"/>
  <c r="AG113" i="3"/>
  <c r="S59" i="3"/>
  <c r="Q60" i="3"/>
  <c r="M59" i="3"/>
  <c r="V56" i="3"/>
  <c r="AG56" i="3"/>
  <c r="W113" i="3"/>
  <c r="AD57" i="3"/>
  <c r="U57" i="3"/>
  <c r="J57" i="3"/>
  <c r="W57" i="3"/>
  <c r="N58" i="3"/>
  <c r="P58" i="3" s="1"/>
  <c r="O58" i="3"/>
  <c r="AF58" i="3"/>
  <c r="H59" i="3"/>
  <c r="K59" i="3" s="1"/>
  <c r="G60" i="3"/>
  <c r="AC59" i="3"/>
  <c r="E59" i="3"/>
  <c r="T116" i="3"/>
  <c r="R117" i="3"/>
  <c r="Z55" i="3"/>
  <c r="AH55" i="3"/>
  <c r="U114" i="3"/>
  <c r="J114" i="3"/>
  <c r="W114" i="3"/>
  <c r="AD114" i="3"/>
  <c r="AC117" i="3" l="1"/>
  <c r="E117" i="3"/>
  <c r="H117" i="3"/>
  <c r="G118" i="3"/>
  <c r="F116" i="3"/>
  <c r="AB116" i="3"/>
  <c r="X57" i="3"/>
  <c r="Y57" i="3"/>
  <c r="S117" i="3"/>
  <c r="Q118" i="3"/>
  <c r="M117" i="3"/>
  <c r="K117" i="3"/>
  <c r="AD115" i="3"/>
  <c r="U115" i="3"/>
  <c r="J115" i="3"/>
  <c r="W115" i="3"/>
  <c r="T117" i="3"/>
  <c r="R118" i="3"/>
  <c r="T60" i="3"/>
  <c r="R61" i="3"/>
  <c r="I116" i="3"/>
  <c r="L116" i="3"/>
  <c r="AE116" i="3"/>
  <c r="N116" i="3"/>
  <c r="P116" i="3" s="1"/>
  <c r="O116" i="3"/>
  <c r="AF116" i="3"/>
  <c r="AG57" i="3"/>
  <c r="V57" i="3"/>
  <c r="AG114" i="3"/>
  <c r="V114" i="3"/>
  <c r="AC60" i="3"/>
  <c r="E60" i="3"/>
  <c r="H60" i="3"/>
  <c r="K60" i="3" s="1"/>
  <c r="G61" i="3"/>
  <c r="AD58" i="3"/>
  <c r="J58" i="3"/>
  <c r="U58" i="3"/>
  <c r="W58" i="3" s="1"/>
  <c r="X114" i="3"/>
  <c r="Y114" i="3"/>
  <c r="X113" i="3"/>
  <c r="Y113" i="3"/>
  <c r="AF59" i="3"/>
  <c r="N59" i="3"/>
  <c r="P59" i="3" s="1"/>
  <c r="O59" i="3"/>
  <c r="F59" i="3"/>
  <c r="AB59" i="3"/>
  <c r="AH56" i="3"/>
  <c r="Z56" i="3"/>
  <c r="AE59" i="3"/>
  <c r="I59" i="3"/>
  <c r="L59" i="3"/>
  <c r="M60" i="3"/>
  <c r="S60" i="3"/>
  <c r="Q61" i="3"/>
  <c r="AB117" i="3" l="1"/>
  <c r="F117" i="3"/>
  <c r="AC118" i="3"/>
  <c r="G119" i="3"/>
  <c r="H118" i="3"/>
  <c r="K118" i="3" s="1"/>
  <c r="E118" i="3"/>
  <c r="AE60" i="3"/>
  <c r="I60" i="3"/>
  <c r="L60" i="3"/>
  <c r="X58" i="3"/>
  <c r="Y58" i="3"/>
  <c r="H61" i="3"/>
  <c r="K61" i="3" s="1"/>
  <c r="G62" i="3"/>
  <c r="AC61" i="3"/>
  <c r="E61" i="3"/>
  <c r="X115" i="3"/>
  <c r="Y115" i="3"/>
  <c r="Q62" i="3"/>
  <c r="M61" i="3"/>
  <c r="S61" i="3"/>
  <c r="AG115" i="3"/>
  <c r="V115" i="3"/>
  <c r="AF117" i="3"/>
  <c r="O117" i="3"/>
  <c r="N117" i="3"/>
  <c r="P117" i="3" s="1"/>
  <c r="R119" i="3"/>
  <c r="T118" i="3"/>
  <c r="AE117" i="3"/>
  <c r="I117" i="3"/>
  <c r="L117" i="3"/>
  <c r="U116" i="3"/>
  <c r="J116" i="3"/>
  <c r="W116" i="3"/>
  <c r="AD116" i="3"/>
  <c r="T61" i="3"/>
  <c r="R62" i="3"/>
  <c r="AH57" i="3"/>
  <c r="Z57" i="3"/>
  <c r="AB60" i="3"/>
  <c r="F60" i="3"/>
  <c r="N60" i="3"/>
  <c r="P60" i="3" s="1"/>
  <c r="O60" i="3"/>
  <c r="AF60" i="3"/>
  <c r="Z113" i="3"/>
  <c r="AH113" i="3"/>
  <c r="U59" i="3"/>
  <c r="W59" i="3" s="1"/>
  <c r="J59" i="3"/>
  <c r="AD59" i="3"/>
  <c r="AH114" i="3"/>
  <c r="Z114" i="3"/>
  <c r="M118" i="3"/>
  <c r="Q119" i="3"/>
  <c r="S118" i="3"/>
  <c r="AG58" i="3"/>
  <c r="V58" i="3"/>
  <c r="G120" i="3" l="1"/>
  <c r="E119" i="3"/>
  <c r="H119" i="3"/>
  <c r="AC119" i="3"/>
  <c r="F118" i="3"/>
  <c r="AB118" i="3"/>
  <c r="I61" i="3"/>
  <c r="L61" i="3"/>
  <c r="AE61" i="3"/>
  <c r="Z115" i="3"/>
  <c r="AH115" i="3"/>
  <c r="I118" i="3"/>
  <c r="L118" i="3"/>
  <c r="AE118" i="3"/>
  <c r="X116" i="3"/>
  <c r="Y116" i="3"/>
  <c r="AB61" i="3"/>
  <c r="F61" i="3"/>
  <c r="N118" i="3"/>
  <c r="P118" i="3" s="1"/>
  <c r="O118" i="3"/>
  <c r="AF118" i="3"/>
  <c r="AC62" i="3"/>
  <c r="E62" i="3"/>
  <c r="H62" i="3"/>
  <c r="K62" i="3" s="1"/>
  <c r="G63" i="3"/>
  <c r="Z58" i="3"/>
  <c r="AH58" i="3"/>
  <c r="T119" i="3"/>
  <c r="R120" i="3"/>
  <c r="AD117" i="3"/>
  <c r="U117" i="3"/>
  <c r="J117" i="3"/>
  <c r="W117" i="3"/>
  <c r="X59" i="3"/>
  <c r="Y59" i="3"/>
  <c r="AD60" i="3"/>
  <c r="U60" i="3"/>
  <c r="J60" i="3"/>
  <c r="W60" i="3"/>
  <c r="V116" i="3"/>
  <c r="AG116" i="3"/>
  <c r="S119" i="3"/>
  <c r="Q120" i="3"/>
  <c r="M119" i="3"/>
  <c r="K119" i="3"/>
  <c r="T62" i="3"/>
  <c r="R63" i="3"/>
  <c r="N61" i="3"/>
  <c r="P61" i="3" s="1"/>
  <c r="O61" i="3"/>
  <c r="AF61" i="3"/>
  <c r="AG59" i="3"/>
  <c r="V59" i="3"/>
  <c r="S62" i="3"/>
  <c r="Q63" i="3"/>
  <c r="M62" i="3"/>
  <c r="F119" i="3" l="1"/>
  <c r="AB119" i="3"/>
  <c r="G121" i="3"/>
  <c r="H120" i="3"/>
  <c r="K120" i="3" s="1"/>
  <c r="AC120" i="3"/>
  <c r="E120" i="3"/>
  <c r="O62" i="3"/>
  <c r="AF62" i="3"/>
  <c r="N62" i="3"/>
  <c r="P62" i="3" s="1"/>
  <c r="Q64" i="3"/>
  <c r="M63" i="3"/>
  <c r="S63" i="3"/>
  <c r="R64" i="3"/>
  <c r="T63" i="3"/>
  <c r="R121" i="3"/>
  <c r="T120" i="3"/>
  <c r="AE62" i="3"/>
  <c r="I62" i="3"/>
  <c r="L62" i="3"/>
  <c r="AB62" i="3"/>
  <c r="F62" i="3"/>
  <c r="AF119" i="3"/>
  <c r="N119" i="3"/>
  <c r="P119" i="3" s="1"/>
  <c r="O119" i="3"/>
  <c r="AG60" i="3"/>
  <c r="V60" i="3"/>
  <c r="G64" i="3"/>
  <c r="AC63" i="3"/>
  <c r="E63" i="3"/>
  <c r="H63" i="3"/>
  <c r="K63" i="3" s="1"/>
  <c r="AH59" i="3"/>
  <c r="Z59" i="3"/>
  <c r="AE119" i="3"/>
  <c r="I119" i="3"/>
  <c r="L119" i="3"/>
  <c r="AG117" i="3"/>
  <c r="V117" i="3"/>
  <c r="X60" i="3"/>
  <c r="Y60" i="3"/>
  <c r="AH116" i="3"/>
  <c r="Z116" i="3"/>
  <c r="AD118" i="3"/>
  <c r="U118" i="3"/>
  <c r="J118" i="3"/>
  <c r="X117" i="3"/>
  <c r="Y117" i="3"/>
  <c r="M120" i="3"/>
  <c r="S120" i="3"/>
  <c r="Q121" i="3"/>
  <c r="U61" i="3"/>
  <c r="J61" i="3"/>
  <c r="W61" i="3"/>
  <c r="AD61" i="3"/>
  <c r="AB120" i="3" l="1"/>
  <c r="F120" i="3"/>
  <c r="H121" i="3"/>
  <c r="E121" i="3"/>
  <c r="AC121" i="3"/>
  <c r="Q122" i="3"/>
  <c r="M121" i="3"/>
  <c r="S121" i="3"/>
  <c r="K121" i="3"/>
  <c r="N120" i="3"/>
  <c r="P120" i="3" s="1"/>
  <c r="O120" i="3"/>
  <c r="AF120" i="3"/>
  <c r="AD119" i="3"/>
  <c r="U119" i="3"/>
  <c r="J119" i="3"/>
  <c r="V118" i="3"/>
  <c r="AG118" i="3"/>
  <c r="X61" i="3"/>
  <c r="Y61" i="3"/>
  <c r="E64" i="3"/>
  <c r="H64" i="3"/>
  <c r="K64" i="3" s="1"/>
  <c r="G65" i="3"/>
  <c r="AC64" i="3"/>
  <c r="T121" i="3"/>
  <c r="R122" i="3"/>
  <c r="T122" i="3" s="1"/>
  <c r="T64" i="3"/>
  <c r="R65" i="3"/>
  <c r="AB63" i="3"/>
  <c r="F63" i="3"/>
  <c r="Z117" i="3"/>
  <c r="AH117" i="3"/>
  <c r="L63" i="3"/>
  <c r="AE63" i="3"/>
  <c r="I63" i="3"/>
  <c r="N63" i="3"/>
  <c r="P63" i="3" s="1"/>
  <c r="O63" i="3"/>
  <c r="AF63" i="3"/>
  <c r="W118" i="3"/>
  <c r="S64" i="3"/>
  <c r="Q65" i="3"/>
  <c r="M64" i="3"/>
  <c r="AG61" i="3"/>
  <c r="V61" i="3"/>
  <c r="L120" i="3"/>
  <c r="AE120" i="3"/>
  <c r="I120" i="3"/>
  <c r="Z60" i="3"/>
  <c r="AH60" i="3"/>
  <c r="AD62" i="3"/>
  <c r="U62" i="3"/>
  <c r="J62" i="3"/>
  <c r="AB121" i="3" l="1"/>
  <c r="F121" i="3"/>
  <c r="AE64" i="3"/>
  <c r="I64" i="3"/>
  <c r="L64" i="3"/>
  <c r="AG119" i="3"/>
  <c r="V119" i="3"/>
  <c r="AG62" i="3"/>
  <c r="V62" i="3"/>
  <c r="T65" i="3"/>
  <c r="R66" i="3"/>
  <c r="J63" i="3"/>
  <c r="AD63" i="3"/>
  <c r="U63" i="3"/>
  <c r="W63" i="3" s="1"/>
  <c r="G66" i="3"/>
  <c r="AC65" i="3"/>
  <c r="E65" i="3"/>
  <c r="H65" i="3"/>
  <c r="K65" i="3" s="1"/>
  <c r="X118" i="3"/>
  <c r="Y118" i="3"/>
  <c r="AD120" i="3"/>
  <c r="U120" i="3"/>
  <c r="J120" i="3"/>
  <c r="AH61" i="3"/>
  <c r="Z61" i="3"/>
  <c r="I121" i="3"/>
  <c r="AE121" i="3"/>
  <c r="L121" i="3"/>
  <c r="W62" i="3"/>
  <c r="N121" i="3"/>
  <c r="P121" i="3" s="1"/>
  <c r="AF121" i="3"/>
  <c r="O121" i="3"/>
  <c r="W119" i="3"/>
  <c r="F64" i="3"/>
  <c r="AB64" i="3"/>
  <c r="AF64" i="3"/>
  <c r="N64" i="3"/>
  <c r="P64" i="3" s="1"/>
  <c r="O64" i="3"/>
  <c r="M65" i="3"/>
  <c r="S65" i="3"/>
  <c r="Q66" i="3"/>
  <c r="S122" i="3"/>
  <c r="M122" i="3"/>
  <c r="K122" i="3"/>
  <c r="L65" i="3" l="1"/>
  <c r="AE65" i="3"/>
  <c r="I65" i="3"/>
  <c r="X119" i="3"/>
  <c r="Y119" i="3"/>
  <c r="AE122" i="3"/>
  <c r="I122" i="3"/>
  <c r="L122" i="3"/>
  <c r="AB65" i="3"/>
  <c r="F65" i="3"/>
  <c r="X63" i="3"/>
  <c r="Y63" i="3"/>
  <c r="AF122" i="3"/>
  <c r="O122" i="3"/>
  <c r="N122" i="3"/>
  <c r="P122" i="3" s="1"/>
  <c r="T66" i="3"/>
  <c r="R67" i="3"/>
  <c r="S66" i="3"/>
  <c r="Q67" i="3"/>
  <c r="M66" i="3"/>
  <c r="K66" i="3"/>
  <c r="N65" i="3"/>
  <c r="P65" i="3" s="1"/>
  <c r="O65" i="3"/>
  <c r="AF65" i="3"/>
  <c r="AD64" i="3"/>
  <c r="U64" i="3"/>
  <c r="J64" i="3"/>
  <c r="W64" i="3"/>
  <c r="AG120" i="3"/>
  <c r="V120" i="3"/>
  <c r="W120" i="3"/>
  <c r="Z118" i="3"/>
  <c r="AH118" i="3"/>
  <c r="X62" i="3"/>
  <c r="Y62" i="3"/>
  <c r="U121" i="3"/>
  <c r="J121" i="3"/>
  <c r="AD121" i="3"/>
  <c r="H66" i="3"/>
  <c r="G67" i="3"/>
  <c r="AC66" i="3"/>
  <c r="E66" i="3"/>
  <c r="V63" i="3"/>
  <c r="AG63" i="3"/>
  <c r="AG121" i="3" l="1"/>
  <c r="V121" i="3"/>
  <c r="AF66" i="3"/>
  <c r="N66" i="3"/>
  <c r="P66" i="3" s="1"/>
  <c r="O66" i="3"/>
  <c r="Z63" i="3"/>
  <c r="AH63" i="3"/>
  <c r="I66" i="3"/>
  <c r="L66" i="3"/>
  <c r="AE66" i="3"/>
  <c r="AD122" i="3"/>
  <c r="U122" i="3"/>
  <c r="W122" i="3" s="1"/>
  <c r="J122" i="3"/>
  <c r="AC67" i="3"/>
  <c r="E67" i="3"/>
  <c r="H67" i="3"/>
  <c r="K67" i="3" s="1"/>
  <c r="G68" i="3"/>
  <c r="T67" i="3"/>
  <c r="R68" i="3"/>
  <c r="AH119" i="3"/>
  <c r="Z119" i="3"/>
  <c r="AB66" i="3"/>
  <c r="F66" i="3"/>
  <c r="X120" i="3"/>
  <c r="Y120" i="3"/>
  <c r="S67" i="3"/>
  <c r="Q68" i="3"/>
  <c r="M67" i="3"/>
  <c r="X64" i="3"/>
  <c r="Y64" i="3"/>
  <c r="W121" i="3"/>
  <c r="AH62" i="3"/>
  <c r="Z62" i="3"/>
  <c r="AD65" i="3"/>
  <c r="U65" i="3"/>
  <c r="W65" i="3" s="1"/>
  <c r="J65" i="3"/>
  <c r="AG64" i="3"/>
  <c r="V64" i="3"/>
  <c r="X122" i="3" l="1"/>
  <c r="Y122" i="3"/>
  <c r="X121" i="3"/>
  <c r="Y121" i="3"/>
  <c r="R69" i="3"/>
  <c r="T68" i="3"/>
  <c r="E68" i="3"/>
  <c r="H68" i="3"/>
  <c r="K68" i="3" s="1"/>
  <c r="G69" i="3"/>
  <c r="AC68" i="3"/>
  <c r="AE67" i="3"/>
  <c r="I67" i="3"/>
  <c r="L67" i="3"/>
  <c r="N67" i="3"/>
  <c r="P67" i="3" s="1"/>
  <c r="O67" i="3"/>
  <c r="AF67" i="3"/>
  <c r="M68" i="3"/>
  <c r="Q69" i="3"/>
  <c r="S68" i="3"/>
  <c r="X65" i="3"/>
  <c r="Y65" i="3"/>
  <c r="AH64" i="3"/>
  <c r="Z64" i="3"/>
  <c r="AB67" i="3"/>
  <c r="F67" i="3"/>
  <c r="AG122" i="3"/>
  <c r="V122" i="3"/>
  <c r="U66" i="3"/>
  <c r="J66" i="3"/>
  <c r="W66" i="3"/>
  <c r="AD66" i="3"/>
  <c r="Z120" i="3"/>
  <c r="AH120" i="3"/>
  <c r="AG65" i="3"/>
  <c r="V65" i="3"/>
  <c r="I68" i="3" l="1"/>
  <c r="L68" i="3"/>
  <c r="AE68" i="3"/>
  <c r="M69" i="3"/>
  <c r="S69" i="3"/>
  <c r="Q70" i="3"/>
  <c r="T69" i="3"/>
  <c r="R70" i="3"/>
  <c r="T70" i="3" s="1"/>
  <c r="AB68" i="3"/>
  <c r="F68" i="3"/>
  <c r="N68" i="3"/>
  <c r="P68" i="3" s="1"/>
  <c r="O68" i="3"/>
  <c r="AF68" i="3"/>
  <c r="AH122" i="3"/>
  <c r="Z122" i="3"/>
  <c r="Z65" i="3"/>
  <c r="AH65" i="3"/>
  <c r="AC69" i="3"/>
  <c r="E69" i="3"/>
  <c r="H69" i="3"/>
  <c r="K69" i="3" s="1"/>
  <c r="X66" i="3"/>
  <c r="Y66" i="3"/>
  <c r="AG66" i="3"/>
  <c r="V66" i="3"/>
  <c r="AH121" i="3"/>
  <c r="Z121" i="3"/>
  <c r="AD67" i="3"/>
  <c r="U67" i="3"/>
  <c r="J67" i="3"/>
  <c r="W67" i="3"/>
  <c r="L69" i="3" l="1"/>
  <c r="AE69" i="3"/>
  <c r="I69" i="3"/>
  <c r="AB69" i="3"/>
  <c r="F69" i="3"/>
  <c r="AH66" i="3"/>
  <c r="Z66" i="3"/>
  <c r="X67" i="3"/>
  <c r="Y67" i="3"/>
  <c r="AG67" i="3"/>
  <c r="V67" i="3"/>
  <c r="N69" i="3"/>
  <c r="P69" i="3" s="1"/>
  <c r="O69" i="3"/>
  <c r="AF69" i="3"/>
  <c r="M70" i="3"/>
  <c r="S70" i="3"/>
  <c r="K70" i="3"/>
  <c r="U68" i="3"/>
  <c r="J68" i="3"/>
  <c r="AD68" i="3"/>
  <c r="V68" i="3" l="1"/>
  <c r="AG68" i="3"/>
  <c r="W68" i="3"/>
  <c r="N70" i="3"/>
  <c r="P70" i="3" s="1"/>
  <c r="O70" i="3"/>
  <c r="AF70" i="3"/>
  <c r="Z67" i="3"/>
  <c r="AH67" i="3"/>
  <c r="I70" i="3"/>
  <c r="L70" i="3"/>
  <c r="AE70" i="3"/>
  <c r="AD69" i="3"/>
  <c r="U69" i="3"/>
  <c r="W69" i="3" s="1"/>
  <c r="J69" i="3"/>
  <c r="X69" i="3" l="1"/>
  <c r="Y69" i="3"/>
  <c r="U70" i="3"/>
  <c r="J70" i="3"/>
  <c r="W70" i="3"/>
  <c r="AD70" i="3"/>
  <c r="X68" i="3"/>
  <c r="Y68" i="3"/>
  <c r="AG69" i="3"/>
  <c r="V69" i="3"/>
  <c r="AH68" i="3" l="1"/>
  <c r="Z68" i="3"/>
  <c r="X70" i="3"/>
  <c r="Y70" i="3"/>
  <c r="AG70" i="3"/>
  <c r="V70" i="3"/>
  <c r="Z69" i="3"/>
  <c r="AH69" i="3"/>
  <c r="AH70" i="3" l="1"/>
  <c r="Z70" i="3"/>
</calcChain>
</file>

<file path=xl/sharedStrings.xml><?xml version="1.0" encoding="utf-8"?>
<sst xmlns="http://schemas.openxmlformats.org/spreadsheetml/2006/main" count="338" uniqueCount="133">
  <si>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</si>
  <si>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</si>
  <si>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</si>
  <si>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</si>
  <si>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</si>
  <si>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</si>
  <si>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</si>
  <si>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</si>
  <si>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</si>
  <si>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</si>
  <si>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</si>
  <si>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</si>
  <si>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</si>
  <si>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</si>
  <si>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</si>
  <si>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</si>
  <si>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</si>
  <si>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</si>
  <si>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</si>
  <si>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</si>
  <si>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</si>
  <si>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</si>
  <si>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</si>
  <si>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</si>
  <si>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</si>
  <si>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</si>
  <si>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</si>
  <si>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</si>
  <si>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</si>
  <si>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</si>
  <si>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</si>
  <si>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</si>
  <si>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</si>
  <si>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</si>
  <si>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</si>
  <si>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</si>
  <si>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</si>
  <si>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</si>
  <si>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</si>
  <si>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</si>
  <si>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</si>
  <si>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</si>
  <si>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</si>
  <si>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</si>
  <si>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</si>
  <si>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</si>
  <si>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</si>
  <si>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</si>
  <si>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</si>
  <si>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</si>
  <si>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</si>
  <si>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</si>
  <si>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</si>
  <si>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</si>
  <si>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</si>
  <si>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</si>
  <si>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</si>
  <si>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</si>
  <si>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</si>
  <si>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</si>
  <si>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</si>
  <si>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</si>
  <si>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</si>
  <si>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</si>
  <si>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</si>
  <si>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</si>
  <si>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</si>
  <si>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</si>
  <si>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</si>
  <si>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</si>
  <si>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</si>
  <si>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</si>
  <si>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</si>
  <si>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</si>
  <si>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</si>
  <si>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</si>
  <si>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</si>
  <si>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</si>
  <si>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</si>
  <si>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</si>
  <si>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</si>
  <si>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</si>
  <si>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</si>
  <si>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</si>
  <si>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</si>
  <si>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</si>
  <si>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</si>
  <si>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</si>
  <si>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</si>
  <si>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</si>
  <si>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</si>
  <si>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Choked Flow Calc</t>
  </si>
  <si>
    <t>Actual</t>
  </si>
  <si>
    <t>1. Flow is adiabatic and horizontal - stagnation enthalpy is constant - also if gas is calorically perfect then stagnation temperature is also constant</t>
  </si>
  <si>
    <t>Exit Mach Number, M2 =1 for choked flow, we can find everything else with fundamental relationships</t>
  </si>
  <si>
    <t>Using M1</t>
  </si>
  <si>
    <t>CdA</t>
  </si>
  <si>
    <t>1. At the choke point and immediately upstream at the pipe, the mass flow rate, stagnation temeprature and stagnation pressure are all the same</t>
  </si>
  <si>
    <t>Hence, from the mass conservation equation</t>
  </si>
  <si>
    <t>choked flow area of orifice</t>
  </si>
  <si>
    <t>and applying mass conservation at location 2 in the pipe and the connected orifice we can equate the above at both locations</t>
  </si>
  <si>
    <t>But Morifice is "1" if it is choked, hence we can solve for M2 iteratively from the following</t>
  </si>
  <si>
    <t>EQUATION 1</t>
  </si>
  <si>
    <t>LHS of Eq. 1</t>
  </si>
  <si>
    <t>RHS of Eq. 1</t>
  </si>
  <si>
    <t>2. Now that we know M2 we can iterate for M1</t>
  </si>
  <si>
    <t>P orifice</t>
  </si>
  <si>
    <t>T orifice</t>
  </si>
  <si>
    <t>Rho orifice</t>
  </si>
  <si>
    <t>V orifice</t>
  </si>
  <si>
    <t>x</t>
  </si>
  <si>
    <t>M</t>
  </si>
  <si>
    <t>P</t>
  </si>
  <si>
    <t>Po</t>
  </si>
  <si>
    <t>To</t>
  </si>
  <si>
    <t>rho</t>
  </si>
  <si>
    <t>V</t>
  </si>
  <si>
    <t>x/L</t>
  </si>
  <si>
    <t>P/P1</t>
  </si>
  <si>
    <t>Po/Po1</t>
  </si>
  <si>
    <t>T/T1</t>
  </si>
  <si>
    <t>rho/rho1</t>
  </si>
  <si>
    <t>V/V1</t>
  </si>
  <si>
    <t>(lbm-R/lbf-ft)^0.5</t>
  </si>
  <si>
    <t>K</t>
  </si>
  <si>
    <t>lbm/ft</t>
  </si>
  <si>
    <t>Jct Calc CdA=2 in2</t>
  </si>
  <si>
    <t>*</t>
  </si>
  <si>
    <t>**</t>
  </si>
  <si>
    <t>D/f</t>
  </si>
  <si>
    <t>f2</t>
  </si>
  <si>
    <t>* = from "Lumped Adiabatic Example - Example 7.3c"</t>
  </si>
  <si>
    <t>* = from "Lumped Adiabatic Example - Example 7.3b"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</si>
</sst>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"/>
    <numFmt numFmtId="167" formatCode="0.0"/>
    <numFmt numFmtId="168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168" fontId="0" fillId="0" borderId="0" xfId="0" applyNumberFormat="1"/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165" fontId="0" fillId="3" borderId="0" xfId="0" applyNumberFormat="1" applyFill="1"/>
    <xf numFmtId="0" fontId="1" fillId="6" borderId="0" xfId="0" applyFont="1" applyFill="1" applyAlignment="1">
      <alignment horizontal="center"/>
    </xf>
    <xf numFmtId="0" fontId="0" fillId="6" borderId="0" xfId="0" applyFill="1"/>
    <xf numFmtId="0" fontId="0" fillId="7" borderId="0" xfId="0" applyFill="1"/>
    <xf numFmtId="0" fontId="0" fillId="7" borderId="0" xfId="0" applyFill="1" applyAlignment="1">
      <alignment horizontal="right"/>
    </xf>
    <xf numFmtId="167" fontId="0" fillId="7" borderId="0" xfId="0" applyNumberFormat="1" applyFill="1"/>
    <xf numFmtId="0" fontId="0" fillId="8" borderId="0" xfId="0" applyFill="1"/>
    <xf numFmtId="167" fontId="0" fillId="8" borderId="0" xfId="0" applyNumberFormat="1" applyFill="1"/>
    <xf numFmtId="0" fontId="0" fillId="8" borderId="0" xfId="0" applyFill="1" applyAlignment="1">
      <alignment horizontal="right"/>
    </xf>
    <xf numFmtId="0" fontId="2" fillId="8" borderId="0" xfId="0" applyFont="1" applyFill="1" applyAlignment="1"/>
    <xf numFmtId="0" fontId="0" fillId="6" borderId="0" xfId="0" applyFill="1" applyAlignment="1">
      <alignment horizontal="right"/>
    </xf>
    <xf numFmtId="0" fontId="2" fillId="6" borderId="0" xfId="0" applyFont="1" applyFill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1496062992126E-2"/>
          <c:y val="0.18217430975634485"/>
          <c:w val="0.81653512245880511"/>
          <c:h val="0.639360616403636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'Graph Data'!$AC$1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'Graph Data'!$AB$3:$AB$122</c:f>
              <c:numCache>
                <c:formatCode>General</c:formatCode>
                <c:ptCount val="120"/>
                <c:pt idx="0">
                  <c:v>0</c:v>
                </c:pt>
                <c:pt idx="1">
                  <c:v>8.6100346898532291E-3</c:v>
                </c:pt>
                <c:pt idx="2">
                  <c:v>0.20151518048001646</c:v>
                </c:pt>
                <c:pt idx="3">
                  <c:v>0.29491351872796423</c:v>
                </c:pt>
                <c:pt idx="4">
                  <c:v>0.38381871075858637</c:v>
                </c:pt>
                <c:pt idx="5">
                  <c:v>0.46851050352093249</c:v>
                </c:pt>
                <c:pt idx="6">
                  <c:v>0.54924726693564885</c:v>
                </c:pt>
                <c:pt idx="7">
                  <c:v>0.62626792281429722</c:v>
                </c:pt>
                <c:pt idx="8">
                  <c:v>0.6666312526803102</c:v>
                </c:pt>
                <c:pt idx="9">
                  <c:v>0.66664525389696616</c:v>
                </c:pt>
                <c:pt idx="10">
                  <c:v>0.66664525389696616</c:v>
                </c:pt>
                <c:pt idx="11">
                  <c:v>0.67898098769726789</c:v>
                </c:pt>
                <c:pt idx="12">
                  <c:v>0.69037088935707036</c:v>
                </c:pt>
                <c:pt idx="13">
                  <c:v>0.70089838408939864</c:v>
                </c:pt>
                <c:pt idx="14">
                  <c:v>0.71063814034230532</c:v>
                </c:pt>
                <c:pt idx="15">
                  <c:v>0.71965714128142577</c:v>
                </c:pt>
                <c:pt idx="16">
                  <c:v>0.72801560687438749</c:v>
                </c:pt>
                <c:pt idx="17">
                  <c:v>0.73576778987938063</c:v>
                </c:pt>
                <c:pt idx="18">
                  <c:v>0.74296266503330566</c:v>
                </c:pt>
                <c:pt idx="19">
                  <c:v>0.74964452747879662</c:v>
                </c:pt>
                <c:pt idx="20">
                  <c:v>0.75585351381221755</c:v>
                </c:pt>
                <c:pt idx="21">
                  <c:v>0.76162605695751773</c:v>
                </c:pt>
                <c:pt idx="22">
                  <c:v>0.76699528427995756</c:v>
                </c:pt>
                <c:pt idx="23">
                  <c:v>0.77199136687511771</c:v>
                </c:pt>
                <c:pt idx="24">
                  <c:v>0.77664182674343907</c:v>
                </c:pt>
                <c:pt idx="25">
                  <c:v>0.78097180754184992</c:v>
                </c:pt>
                <c:pt idx="26">
                  <c:v>0.78500431375419977</c:v>
                </c:pt>
                <c:pt idx="27">
                  <c:v>0.78876042241096334</c:v>
                </c:pt>
                <c:pt idx="28">
                  <c:v>0.79225947089155435</c:v>
                </c:pt>
                <c:pt idx="29">
                  <c:v>0.79551922383979001</c:v>
                </c:pt>
                <c:pt idx="30">
                  <c:v>0.79855602179843133</c:v>
                </c:pt>
                <c:pt idx="31">
                  <c:v>0.80138491380914756</c:v>
                </c:pt>
                <c:pt idx="32">
                  <c:v>0.80401977591891494</c:v>
                </c:pt>
                <c:pt idx="33">
                  <c:v>0.8064734172739102</c:v>
                </c:pt>
                <c:pt idx="34">
                  <c:v>0.80875767526008224</c:v>
                </c:pt>
                <c:pt idx="35">
                  <c:v>0.81088350095974593</c:v>
                </c:pt>
                <c:pt idx="36">
                  <c:v>0.81286103603072024</c:v>
                </c:pt>
                <c:pt idx="37">
                  <c:v>0.8146996819745701</c:v>
                </c:pt>
                <c:pt idx="38">
                  <c:v>0.81640816263991978</c:v>
                </c:pt>
                <c:pt idx="39">
                  <c:v>0.81799458070268738</c:v>
                </c:pt>
                <c:pt idx="40">
                  <c:v>0.81946646877499418</c:v>
                </c:pt>
                <c:pt idx="41">
                  <c:v>0.82083083571639626</c:v>
                </c:pt>
                <c:pt idx="42">
                  <c:v>0.82209420865321892</c:v>
                </c:pt>
                <c:pt idx="43">
                  <c:v>0.82326267115271168</c:v>
                </c:pt>
                <c:pt idx="44">
                  <c:v>0.82434189794722412</c:v>
                </c:pt>
                <c:pt idx="45">
                  <c:v>0.82533718655860278</c:v>
                </c:pt>
                <c:pt idx="46">
                  <c:v>0.8262534861336136</c:v>
                </c:pt>
                <c:pt idx="47">
                  <c:v>0.82709542376666412</c:v>
                </c:pt>
                <c:pt idx="48">
                  <c:v>0.82786732855576561</c:v>
                </c:pt>
                <c:pt idx="49">
                  <c:v>0.82857325361099754</c:v>
                </c:pt>
                <c:pt idx="50">
                  <c:v>0.82921699621122458</c:v>
                </c:pt>
                <c:pt idx="51">
                  <c:v>0.82980211628407463</c:v>
                </c:pt>
                <c:pt idx="52">
                  <c:v>0.83033195336584953</c:v>
                </c:pt>
                <c:pt idx="53">
                  <c:v>0.83080964218180775</c:v>
                </c:pt>
                <c:pt idx="54">
                  <c:v>0.83123812697287913</c:v>
                </c:pt>
                <c:pt idx="55">
                  <c:v>0.8316201746820947</c:v>
                </c:pt>
                <c:pt idx="56">
                  <c:v>0.83195838710266734</c:v>
                </c:pt>
                <c:pt idx="57">
                  <c:v>0.83225521207955377</c:v>
                </c:pt>
                <c:pt idx="58">
                  <c:v>0.83251295384732182</c:v>
                </c:pt>
                <c:pt idx="59">
                  <c:v>0.83273378257911357</c:v>
                </c:pt>
                <c:pt idx="60">
                  <c:v>0.8329197432143064</c:v>
                </c:pt>
                <c:pt idx="61">
                  <c:v>0.83307276362605831</c:v>
                </c:pt>
                <c:pt idx="62">
                  <c:v>0.83319466218416083</c:v>
                </c:pt>
                <c:pt idx="63">
                  <c:v>0.83328715476346504</c:v>
                </c:pt>
                <c:pt idx="64">
                  <c:v>0.83335186124351246</c:v>
                </c:pt>
                <c:pt idx="65">
                  <c:v>0.83339031154083787</c:v>
                </c:pt>
                <c:pt idx="66">
                  <c:v>0.83340395121165844</c:v>
                </c:pt>
                <c:pt idx="67">
                  <c:v>0.83340401267041853</c:v>
                </c:pt>
                <c:pt idx="68">
                  <c:v>0.83330656737120767</c:v>
                </c:pt>
                <c:pt idx="69">
                  <c:v>0.84555319814118635</c:v>
                </c:pt>
                <c:pt idx="70">
                  <c:v>0.856907784657989</c:v>
                </c:pt>
                <c:pt idx="71">
                  <c:v>0.86744291554546549</c:v>
                </c:pt>
                <c:pt idx="72">
                  <c:v>0.87722418820714754</c:v>
                </c:pt>
                <c:pt idx="73">
                  <c:v>0.88631099351567677</c:v>
                </c:pt>
                <c:pt idx="74">
                  <c:v>0.89475720005131432</c:v>
                </c:pt>
                <c:pt idx="75">
                  <c:v>0.90261175229212143</c:v>
                </c:pt>
                <c:pt idx="76">
                  <c:v>0.90991919487875961</c:v>
                </c:pt>
                <c:pt idx="77">
                  <c:v>0.91672013319093404</c:v>
                </c:pt>
                <c:pt idx="78">
                  <c:v>0.92305163890679209</c:v>
                </c:pt>
                <c:pt idx="79">
                  <c:v>0.92894760791230235</c:v>
                </c:pt>
                <c:pt idx="80">
                  <c:v>0.93443907683759708</c:v>
                </c:pt>
                <c:pt idx="81">
                  <c:v>0.93955450358336845</c:v>
                </c:pt>
                <c:pt idx="82">
                  <c:v>0.94432001643189523</c:v>
                </c:pt>
                <c:pt idx="83">
                  <c:v>0.94875963568908706</c:v>
                </c:pt>
                <c:pt idx="84">
                  <c:v>0.95289547125570473</c:v>
                </c:pt>
                <c:pt idx="85">
                  <c:v>0.95674789906093283</c:v>
                </c:pt>
                <c:pt idx="86">
                  <c:v>0.96033571889607117</c:v>
                </c:pt>
                <c:pt idx="87">
                  <c:v>0.96367629584899894</c:v>
                </c:pt>
                <c:pt idx="88">
                  <c:v>0.96678568725192571</c:v>
                </c:pt>
                <c:pt idx="89">
                  <c:v>0.96967875680808568</c:v>
                </c:pt>
                <c:pt idx="90">
                  <c:v>0.97236927735103906</c:v>
                </c:pt>
                <c:pt idx="91">
                  <c:v>0.97487002350776586</c:v>
                </c:pt>
                <c:pt idx="92">
                  <c:v>0.97719285537935063</c:v>
                </c:pt>
                <c:pt idx="93">
                  <c:v>0.97934879421698207</c:v>
                </c:pt>
                <c:pt idx="94">
                  <c:v>0.98134809095313014</c:v>
                </c:pt>
                <c:pt idx="95">
                  <c:v>0.98320028834545736</c:v>
                </c:pt>
                <c:pt idx="96">
                  <c:v>0.98491427740203885</c:v>
                </c:pt>
                <c:pt idx="97">
                  <c:v>0.98649834867894293</c:v>
                </c:pt>
                <c:pt idx="98">
                  <c:v>0.98796023897353646</c:v>
                </c:pt>
                <c:pt idx="99">
                  <c:v>0.98930717387769107</c:v>
                </c:pt>
                <c:pt idx="100">
                  <c:v>0.99054590660320974</c:v>
                </c:pt>
                <c:pt idx="101">
                  <c:v>0.99168275344628209</c:v>
                </c:pt>
                <c:pt idx="102">
                  <c:v>0.99272362621778321</c:v>
                </c:pt>
                <c:pt idx="103">
                  <c:v>0.99367406193099173</c:v>
                </c:pt>
                <c:pt idx="104">
                  <c:v>0.99453925000725973</c:v>
                </c:pt>
                <c:pt idx="105">
                  <c:v>0.9953240572327221</c:v>
                </c:pt>
                <c:pt idx="106">
                  <c:v>0.99603305067486692</c:v>
                </c:pt>
                <c:pt idx="107">
                  <c:v>0.99667051874629731</c:v>
                </c:pt>
                <c:pt idx="108">
                  <c:v>0.99724049058393993</c:v>
                </c:pt>
                <c:pt idx="109">
                  <c:v>0.99774675389501311</c:v>
                </c:pt>
                <c:pt idx="110">
                  <c:v>0.99819287140600077</c:v>
                </c:pt>
                <c:pt idx="111">
                  <c:v>0.99858219603745202</c:v>
                </c:pt>
                <c:pt idx="112">
                  <c:v>0.99891788491544919</c:v>
                </c:pt>
                <c:pt idx="113">
                  <c:v>0.99920291231990166</c:v>
                </c:pt>
                <c:pt idx="114">
                  <c:v>0.99944008166025</c:v>
                </c:pt>
                <c:pt idx="115">
                  <c:v>0.99963203656061661</c:v>
                </c:pt>
                <c:pt idx="116">
                  <c:v>0.99978127112875703</c:v>
                </c:pt>
                <c:pt idx="117">
                  <c:v>0.99989013947628391</c:v>
                </c:pt>
                <c:pt idx="118">
                  <c:v>0.99996086455145161</c:v>
                </c:pt>
                <c:pt idx="119">
                  <c:v>1</c:v>
                </c:pt>
              </c:numCache>
            </c:numRef>
          </c:xVal>
          <c:yVal>
            <c:numRef>
              <c:f>'Graph Data'!$AC$3:$AC$122</c:f>
              <c:numCache>
                <c:formatCode>General</c:formatCode>
                <c:ptCount val="120"/>
                <c:pt idx="0">
                  <c:v>0.14762323347790815</c:v>
                </c:pt>
                <c:pt idx="1">
                  <c:v>0.15012323347790815</c:v>
                </c:pt>
                <c:pt idx="2">
                  <c:v>0.15262323347790815</c:v>
                </c:pt>
                <c:pt idx="3">
                  <c:v>0.15512323347790816</c:v>
                </c:pt>
                <c:pt idx="4">
                  <c:v>0.15762323347790816</c:v>
                </c:pt>
                <c:pt idx="5">
                  <c:v>0.16012323347790816</c:v>
                </c:pt>
                <c:pt idx="6">
                  <c:v>0.16262323347790816</c:v>
                </c:pt>
                <c:pt idx="7">
                  <c:v>0.16512323347790817</c:v>
                </c:pt>
                <c:pt idx="8">
                  <c:v>0.16648136922389201</c:v>
                </c:pt>
                <c:pt idx="9">
                  <c:v>1</c:v>
                </c:pt>
                <c:pt idx="10">
                  <c:v>0.43927482794292305</c:v>
                </c:pt>
                <c:pt idx="11">
                  <c:v>0.44927482794292306</c:v>
                </c:pt>
                <c:pt idx="12">
                  <c:v>0.45927482794292307</c:v>
                </c:pt>
                <c:pt idx="13">
                  <c:v>0.46927482794292308</c:v>
                </c:pt>
                <c:pt idx="14">
                  <c:v>0.47927482794292309</c:v>
                </c:pt>
                <c:pt idx="15">
                  <c:v>0.4892748279429231</c:v>
                </c:pt>
                <c:pt idx="16">
                  <c:v>0.49927482794292311</c:v>
                </c:pt>
                <c:pt idx="17">
                  <c:v>0.50927482794292311</c:v>
                </c:pt>
                <c:pt idx="18">
                  <c:v>0.51927482794292312</c:v>
                </c:pt>
                <c:pt idx="19">
                  <c:v>0.52927482794292313</c:v>
                </c:pt>
                <c:pt idx="20">
                  <c:v>0.53927482794292314</c:v>
                </c:pt>
                <c:pt idx="21">
                  <c:v>0.54927482794292315</c:v>
                </c:pt>
                <c:pt idx="22">
                  <c:v>0.55927482794292316</c:v>
                </c:pt>
                <c:pt idx="23">
                  <c:v>0.56927482794292317</c:v>
                </c:pt>
                <c:pt idx="24">
                  <c:v>0.57927482794292318</c:v>
                </c:pt>
                <c:pt idx="25">
                  <c:v>0.58927482794292319</c:v>
                </c:pt>
                <c:pt idx="26">
                  <c:v>0.59927482794292319</c:v>
                </c:pt>
                <c:pt idx="27">
                  <c:v>0.6092748279429232</c:v>
                </c:pt>
                <c:pt idx="28">
                  <c:v>0.61927482794292321</c:v>
                </c:pt>
                <c:pt idx="29">
                  <c:v>0.62927482794292322</c:v>
                </c:pt>
                <c:pt idx="30">
                  <c:v>0.63927482794292323</c:v>
                </c:pt>
                <c:pt idx="31">
                  <c:v>0.64927482794292324</c:v>
                </c:pt>
                <c:pt idx="32">
                  <c:v>0.65927482794292325</c:v>
                </c:pt>
                <c:pt idx="33">
                  <c:v>0.66927482794292326</c:v>
                </c:pt>
                <c:pt idx="34">
                  <c:v>0.67927482794292326</c:v>
                </c:pt>
                <c:pt idx="35">
                  <c:v>0.68927482794292327</c:v>
                </c:pt>
                <c:pt idx="36">
                  <c:v>0.69927482794292328</c:v>
                </c:pt>
                <c:pt idx="37">
                  <c:v>0.70927482794292329</c:v>
                </c:pt>
                <c:pt idx="38">
                  <c:v>0.7192748279429233</c:v>
                </c:pt>
                <c:pt idx="39">
                  <c:v>0.72927482794292331</c:v>
                </c:pt>
                <c:pt idx="40">
                  <c:v>0.73927482794292332</c:v>
                </c:pt>
                <c:pt idx="41">
                  <c:v>0.74927482794292333</c:v>
                </c:pt>
                <c:pt idx="42">
                  <c:v>0.75927482794292334</c:v>
                </c:pt>
                <c:pt idx="43">
                  <c:v>0.76927482794292334</c:v>
                </c:pt>
                <c:pt idx="44">
                  <c:v>0.77927482794292335</c:v>
                </c:pt>
                <c:pt idx="45">
                  <c:v>0.78927482794292336</c:v>
                </c:pt>
                <c:pt idx="46">
                  <c:v>0.79927482794292337</c:v>
                </c:pt>
                <c:pt idx="47">
                  <c:v>0.80927482794292338</c:v>
                </c:pt>
                <c:pt idx="48">
                  <c:v>0.81927482794292339</c:v>
                </c:pt>
                <c:pt idx="49">
                  <c:v>0.8292748279429234</c:v>
                </c:pt>
                <c:pt idx="50">
                  <c:v>0.83927482794292341</c:v>
                </c:pt>
                <c:pt idx="51">
                  <c:v>0.84927482794292342</c:v>
                </c:pt>
                <c:pt idx="52">
                  <c:v>0.85927482794292342</c:v>
                </c:pt>
                <c:pt idx="53">
                  <c:v>0.86927482794292343</c:v>
                </c:pt>
                <c:pt idx="54">
                  <c:v>0.87927482794292344</c:v>
                </c:pt>
                <c:pt idx="55">
                  <c:v>0.88927482794292345</c:v>
                </c:pt>
                <c:pt idx="56">
                  <c:v>0.89927482794292346</c:v>
                </c:pt>
                <c:pt idx="57">
                  <c:v>0.90927482794292347</c:v>
                </c:pt>
                <c:pt idx="58">
                  <c:v>0.91927482794292348</c:v>
                </c:pt>
                <c:pt idx="59">
                  <c:v>0.92927482794292349</c:v>
                </c:pt>
                <c:pt idx="60">
                  <c:v>0.9392748279429235</c:v>
                </c:pt>
                <c:pt idx="61">
                  <c:v>0.9492748279429235</c:v>
                </c:pt>
                <c:pt idx="62">
                  <c:v>0.95927482794292351</c:v>
                </c:pt>
                <c:pt idx="63">
                  <c:v>0.96927482794292352</c:v>
                </c:pt>
                <c:pt idx="64">
                  <c:v>0.97927482794292353</c:v>
                </c:pt>
                <c:pt idx="65">
                  <c:v>0.98927482794292354</c:v>
                </c:pt>
                <c:pt idx="66">
                  <c:v>0.99927482794292355</c:v>
                </c:pt>
                <c:pt idx="67">
                  <c:v>1</c:v>
                </c:pt>
                <c:pt idx="68">
                  <c:v>0.48483526537382104</c:v>
                </c:pt>
                <c:pt idx="69">
                  <c:v>0.49483526537382105</c:v>
                </c:pt>
                <c:pt idx="70">
                  <c:v>0.50483526537382106</c:v>
                </c:pt>
                <c:pt idx="71">
                  <c:v>0.51483526537382107</c:v>
                </c:pt>
                <c:pt idx="72">
                  <c:v>0.52483526537382108</c:v>
                </c:pt>
                <c:pt idx="73">
                  <c:v>0.53483526537382109</c:v>
                </c:pt>
                <c:pt idx="74">
                  <c:v>0.5448352653738211</c:v>
                </c:pt>
                <c:pt idx="75">
                  <c:v>0.55483526537382111</c:v>
                </c:pt>
                <c:pt idx="76">
                  <c:v>0.56483526537382112</c:v>
                </c:pt>
                <c:pt idx="77">
                  <c:v>0.57483526537382112</c:v>
                </c:pt>
                <c:pt idx="78">
                  <c:v>0.58483526537382113</c:v>
                </c:pt>
                <c:pt idx="79">
                  <c:v>0.59483526537382114</c:v>
                </c:pt>
                <c:pt idx="80">
                  <c:v>0.60483526537382115</c:v>
                </c:pt>
                <c:pt idx="81">
                  <c:v>0.61483526537382116</c:v>
                </c:pt>
                <c:pt idx="82">
                  <c:v>0.62483526537382117</c:v>
                </c:pt>
                <c:pt idx="83">
                  <c:v>0.63483526537382118</c:v>
                </c:pt>
                <c:pt idx="84">
                  <c:v>0.64483526537382119</c:v>
                </c:pt>
                <c:pt idx="85">
                  <c:v>0.6548352653738212</c:v>
                </c:pt>
                <c:pt idx="86">
                  <c:v>0.6648352653738212</c:v>
                </c:pt>
                <c:pt idx="87">
                  <c:v>0.67483526537382121</c:v>
                </c:pt>
                <c:pt idx="88">
                  <c:v>0.68483526537382122</c:v>
                </c:pt>
                <c:pt idx="89">
                  <c:v>0.69483526537382123</c:v>
                </c:pt>
                <c:pt idx="90">
                  <c:v>0.70483526537382124</c:v>
                </c:pt>
                <c:pt idx="91">
                  <c:v>0.71483526537382125</c:v>
                </c:pt>
                <c:pt idx="92">
                  <c:v>0.72483526537382126</c:v>
                </c:pt>
                <c:pt idx="93">
                  <c:v>0.73483526537382127</c:v>
                </c:pt>
                <c:pt idx="94">
                  <c:v>0.74483526537382128</c:v>
                </c:pt>
                <c:pt idx="95">
                  <c:v>0.75483526537382128</c:v>
                </c:pt>
                <c:pt idx="96">
                  <c:v>0.76483526537382129</c:v>
                </c:pt>
                <c:pt idx="97">
                  <c:v>0.7748352653738213</c:v>
                </c:pt>
                <c:pt idx="98">
                  <c:v>0.78483526537382131</c:v>
                </c:pt>
                <c:pt idx="99">
                  <c:v>0.79483526537382132</c:v>
                </c:pt>
                <c:pt idx="100">
                  <c:v>0.80483526537382133</c:v>
                </c:pt>
                <c:pt idx="101">
                  <c:v>0.81483526537382134</c:v>
                </c:pt>
                <c:pt idx="102">
                  <c:v>0.82483526537382135</c:v>
                </c:pt>
                <c:pt idx="103">
                  <c:v>0.83483526537382136</c:v>
                </c:pt>
                <c:pt idx="104">
                  <c:v>0.84483526537382136</c:v>
                </c:pt>
                <c:pt idx="105">
                  <c:v>0.85483526537382137</c:v>
                </c:pt>
                <c:pt idx="106">
                  <c:v>0.86483526537382138</c:v>
                </c:pt>
                <c:pt idx="107">
                  <c:v>0.87483526537382139</c:v>
                </c:pt>
                <c:pt idx="108">
                  <c:v>0.8848352653738214</c:v>
                </c:pt>
                <c:pt idx="109">
                  <c:v>0.89483526537382141</c:v>
                </c:pt>
                <c:pt idx="110">
                  <c:v>0.90483526537382142</c:v>
                </c:pt>
                <c:pt idx="111">
                  <c:v>0.91483526537382143</c:v>
                </c:pt>
                <c:pt idx="112">
                  <c:v>0.92483526537382144</c:v>
                </c:pt>
                <c:pt idx="113">
                  <c:v>0.93483526537382144</c:v>
                </c:pt>
                <c:pt idx="114">
                  <c:v>0.94483526537382145</c:v>
                </c:pt>
                <c:pt idx="115">
                  <c:v>0.95483526537382146</c:v>
                </c:pt>
                <c:pt idx="116">
                  <c:v>0.96483526537382147</c:v>
                </c:pt>
                <c:pt idx="117">
                  <c:v>0.97483526537382148</c:v>
                </c:pt>
                <c:pt idx="118">
                  <c:v>0.98483526537382149</c:v>
                </c:pt>
                <c:pt idx="119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E7-4676-8091-F18D4757AF70}"/>
            </c:ext>
          </c:extLst>
        </c:ser>
        <c:ser>
          <c:idx val="1"/>
          <c:order val="1"/>
          <c:tx>
            <c:strRef>
              <c:f>'Graph Data'!$AD$1</c:f>
              <c:strCache>
                <c:ptCount val="1"/>
                <c:pt idx="0">
                  <c:v>P/P1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'Graph Data'!$AB$3:$AB$122</c:f>
              <c:numCache>
                <c:formatCode>General</c:formatCode>
                <c:ptCount val="120"/>
                <c:pt idx="0">
                  <c:v>0</c:v>
                </c:pt>
                <c:pt idx="1">
                  <c:v>8.6100346898532291E-3</c:v>
                </c:pt>
                <c:pt idx="2">
                  <c:v>0.20151518048001646</c:v>
                </c:pt>
                <c:pt idx="3">
                  <c:v>0.29491351872796423</c:v>
                </c:pt>
                <c:pt idx="4">
                  <c:v>0.38381871075858637</c:v>
                </c:pt>
                <c:pt idx="5">
                  <c:v>0.46851050352093249</c:v>
                </c:pt>
                <c:pt idx="6">
                  <c:v>0.54924726693564885</c:v>
                </c:pt>
                <c:pt idx="7">
                  <c:v>0.62626792281429722</c:v>
                </c:pt>
                <c:pt idx="8">
                  <c:v>0.6666312526803102</c:v>
                </c:pt>
                <c:pt idx="9">
                  <c:v>0.66664525389696616</c:v>
                </c:pt>
                <c:pt idx="10">
                  <c:v>0.66664525389696616</c:v>
                </c:pt>
                <c:pt idx="11">
                  <c:v>0.67898098769726789</c:v>
                </c:pt>
                <c:pt idx="12">
                  <c:v>0.69037088935707036</c:v>
                </c:pt>
                <c:pt idx="13">
                  <c:v>0.70089838408939864</c:v>
                </c:pt>
                <c:pt idx="14">
                  <c:v>0.71063814034230532</c:v>
                </c:pt>
                <c:pt idx="15">
                  <c:v>0.71965714128142577</c:v>
                </c:pt>
                <c:pt idx="16">
                  <c:v>0.72801560687438749</c:v>
                </c:pt>
                <c:pt idx="17">
                  <c:v>0.73576778987938063</c:v>
                </c:pt>
                <c:pt idx="18">
                  <c:v>0.74296266503330566</c:v>
                </c:pt>
                <c:pt idx="19">
                  <c:v>0.74964452747879662</c:v>
                </c:pt>
                <c:pt idx="20">
                  <c:v>0.75585351381221755</c:v>
                </c:pt>
                <c:pt idx="21">
                  <c:v>0.76162605695751773</c:v>
                </c:pt>
                <c:pt idx="22">
                  <c:v>0.76699528427995756</c:v>
                </c:pt>
                <c:pt idx="23">
                  <c:v>0.77199136687511771</c:v>
                </c:pt>
                <c:pt idx="24">
                  <c:v>0.77664182674343907</c:v>
                </c:pt>
                <c:pt idx="25">
                  <c:v>0.78097180754184992</c:v>
                </c:pt>
                <c:pt idx="26">
                  <c:v>0.78500431375419977</c:v>
                </c:pt>
                <c:pt idx="27">
                  <c:v>0.78876042241096334</c:v>
                </c:pt>
                <c:pt idx="28">
                  <c:v>0.79225947089155435</c:v>
                </c:pt>
                <c:pt idx="29">
                  <c:v>0.79551922383979001</c:v>
                </c:pt>
                <c:pt idx="30">
                  <c:v>0.79855602179843133</c:v>
                </c:pt>
                <c:pt idx="31">
                  <c:v>0.80138491380914756</c:v>
                </c:pt>
                <c:pt idx="32">
                  <c:v>0.80401977591891494</c:v>
                </c:pt>
                <c:pt idx="33">
                  <c:v>0.8064734172739102</c:v>
                </c:pt>
                <c:pt idx="34">
                  <c:v>0.80875767526008224</c:v>
                </c:pt>
                <c:pt idx="35">
                  <c:v>0.81088350095974593</c:v>
                </c:pt>
                <c:pt idx="36">
                  <c:v>0.81286103603072024</c:v>
                </c:pt>
                <c:pt idx="37">
                  <c:v>0.8146996819745701</c:v>
                </c:pt>
                <c:pt idx="38">
                  <c:v>0.81640816263991978</c:v>
                </c:pt>
                <c:pt idx="39">
                  <c:v>0.81799458070268738</c:v>
                </c:pt>
                <c:pt idx="40">
                  <c:v>0.81946646877499418</c:v>
                </c:pt>
                <c:pt idx="41">
                  <c:v>0.82083083571639626</c:v>
                </c:pt>
                <c:pt idx="42">
                  <c:v>0.82209420865321892</c:v>
                </c:pt>
                <c:pt idx="43">
                  <c:v>0.82326267115271168</c:v>
                </c:pt>
                <c:pt idx="44">
                  <c:v>0.82434189794722412</c:v>
                </c:pt>
                <c:pt idx="45">
                  <c:v>0.82533718655860278</c:v>
                </c:pt>
                <c:pt idx="46">
                  <c:v>0.8262534861336136</c:v>
                </c:pt>
                <c:pt idx="47">
                  <c:v>0.82709542376666412</c:v>
                </c:pt>
                <c:pt idx="48">
                  <c:v>0.82786732855576561</c:v>
                </c:pt>
                <c:pt idx="49">
                  <c:v>0.82857325361099754</c:v>
                </c:pt>
                <c:pt idx="50">
                  <c:v>0.82921699621122458</c:v>
                </c:pt>
                <c:pt idx="51">
                  <c:v>0.82980211628407463</c:v>
                </c:pt>
                <c:pt idx="52">
                  <c:v>0.83033195336584953</c:v>
                </c:pt>
                <c:pt idx="53">
                  <c:v>0.83080964218180775</c:v>
                </c:pt>
                <c:pt idx="54">
                  <c:v>0.83123812697287913</c:v>
                </c:pt>
                <c:pt idx="55">
                  <c:v>0.8316201746820947</c:v>
                </c:pt>
                <c:pt idx="56">
                  <c:v>0.83195838710266734</c:v>
                </c:pt>
                <c:pt idx="57">
                  <c:v>0.83225521207955377</c:v>
                </c:pt>
                <c:pt idx="58">
                  <c:v>0.83251295384732182</c:v>
                </c:pt>
                <c:pt idx="59">
                  <c:v>0.83273378257911357</c:v>
                </c:pt>
                <c:pt idx="60">
                  <c:v>0.8329197432143064</c:v>
                </c:pt>
                <c:pt idx="61">
                  <c:v>0.83307276362605831</c:v>
                </c:pt>
                <c:pt idx="62">
                  <c:v>0.83319466218416083</c:v>
                </c:pt>
                <c:pt idx="63">
                  <c:v>0.83328715476346504</c:v>
                </c:pt>
                <c:pt idx="64">
                  <c:v>0.83335186124351246</c:v>
                </c:pt>
                <c:pt idx="65">
                  <c:v>0.83339031154083787</c:v>
                </c:pt>
                <c:pt idx="66">
                  <c:v>0.83340395121165844</c:v>
                </c:pt>
                <c:pt idx="67">
                  <c:v>0.83340401267041853</c:v>
                </c:pt>
                <c:pt idx="68">
                  <c:v>0.83330656737120767</c:v>
                </c:pt>
                <c:pt idx="69">
                  <c:v>0.84555319814118635</c:v>
                </c:pt>
                <c:pt idx="70">
                  <c:v>0.856907784657989</c:v>
                </c:pt>
                <c:pt idx="71">
                  <c:v>0.86744291554546549</c:v>
                </c:pt>
                <c:pt idx="72">
                  <c:v>0.87722418820714754</c:v>
                </c:pt>
                <c:pt idx="73">
                  <c:v>0.88631099351567677</c:v>
                </c:pt>
                <c:pt idx="74">
                  <c:v>0.89475720005131432</c:v>
                </c:pt>
                <c:pt idx="75">
                  <c:v>0.90261175229212143</c:v>
                </c:pt>
                <c:pt idx="76">
                  <c:v>0.90991919487875961</c:v>
                </c:pt>
                <c:pt idx="77">
                  <c:v>0.91672013319093404</c:v>
                </c:pt>
                <c:pt idx="78">
                  <c:v>0.92305163890679209</c:v>
                </c:pt>
                <c:pt idx="79">
                  <c:v>0.92894760791230235</c:v>
                </c:pt>
                <c:pt idx="80">
                  <c:v>0.93443907683759708</c:v>
                </c:pt>
                <c:pt idx="81">
                  <c:v>0.93955450358336845</c:v>
                </c:pt>
                <c:pt idx="82">
                  <c:v>0.94432001643189523</c:v>
                </c:pt>
                <c:pt idx="83">
                  <c:v>0.94875963568908706</c:v>
                </c:pt>
                <c:pt idx="84">
                  <c:v>0.95289547125570473</c:v>
                </c:pt>
                <c:pt idx="85">
                  <c:v>0.95674789906093283</c:v>
                </c:pt>
                <c:pt idx="86">
                  <c:v>0.96033571889607117</c:v>
                </c:pt>
                <c:pt idx="87">
                  <c:v>0.96367629584899894</c:v>
                </c:pt>
                <c:pt idx="88">
                  <c:v>0.96678568725192571</c:v>
                </c:pt>
                <c:pt idx="89">
                  <c:v>0.96967875680808568</c:v>
                </c:pt>
                <c:pt idx="90">
                  <c:v>0.97236927735103906</c:v>
                </c:pt>
                <c:pt idx="91">
                  <c:v>0.97487002350776586</c:v>
                </c:pt>
                <c:pt idx="92">
                  <c:v>0.97719285537935063</c:v>
                </c:pt>
                <c:pt idx="93">
                  <c:v>0.97934879421698207</c:v>
                </c:pt>
                <c:pt idx="94">
                  <c:v>0.98134809095313014</c:v>
                </c:pt>
                <c:pt idx="95">
                  <c:v>0.98320028834545736</c:v>
                </c:pt>
                <c:pt idx="96">
                  <c:v>0.98491427740203885</c:v>
                </c:pt>
                <c:pt idx="97">
                  <c:v>0.98649834867894293</c:v>
                </c:pt>
                <c:pt idx="98">
                  <c:v>0.98796023897353646</c:v>
                </c:pt>
                <c:pt idx="99">
                  <c:v>0.98930717387769107</c:v>
                </c:pt>
                <c:pt idx="100">
                  <c:v>0.99054590660320974</c:v>
                </c:pt>
                <c:pt idx="101">
                  <c:v>0.99168275344628209</c:v>
                </c:pt>
                <c:pt idx="102">
                  <c:v>0.99272362621778321</c:v>
                </c:pt>
                <c:pt idx="103">
                  <c:v>0.99367406193099173</c:v>
                </c:pt>
                <c:pt idx="104">
                  <c:v>0.99453925000725973</c:v>
                </c:pt>
                <c:pt idx="105">
                  <c:v>0.9953240572327221</c:v>
                </c:pt>
                <c:pt idx="106">
                  <c:v>0.99603305067486692</c:v>
                </c:pt>
                <c:pt idx="107">
                  <c:v>0.99667051874629731</c:v>
                </c:pt>
                <c:pt idx="108">
                  <c:v>0.99724049058393993</c:v>
                </c:pt>
                <c:pt idx="109">
                  <c:v>0.99774675389501311</c:v>
                </c:pt>
                <c:pt idx="110">
                  <c:v>0.99819287140600077</c:v>
                </c:pt>
                <c:pt idx="111">
                  <c:v>0.99858219603745202</c:v>
                </c:pt>
                <c:pt idx="112">
                  <c:v>0.99891788491544919</c:v>
                </c:pt>
                <c:pt idx="113">
                  <c:v>0.99920291231990166</c:v>
                </c:pt>
                <c:pt idx="114">
                  <c:v>0.99944008166025</c:v>
                </c:pt>
                <c:pt idx="115">
                  <c:v>0.99963203656061661</c:v>
                </c:pt>
                <c:pt idx="116">
                  <c:v>0.99978127112875703</c:v>
                </c:pt>
                <c:pt idx="117">
                  <c:v>0.99989013947628391</c:v>
                </c:pt>
                <c:pt idx="118">
                  <c:v>0.99996086455145161</c:v>
                </c:pt>
                <c:pt idx="119">
                  <c:v>1</c:v>
                </c:pt>
              </c:numCache>
            </c:numRef>
          </c:xVal>
          <c:yVal>
            <c:numRef>
              <c:f>'Graph Data'!$AD$3:$AD$122</c:f>
              <c:numCache>
                <c:formatCode>General</c:formatCode>
                <c:ptCount val="120"/>
                <c:pt idx="0">
                  <c:v>1</c:v>
                </c:pt>
                <c:pt idx="1">
                  <c:v>0.98327414342465125</c:v>
                </c:pt>
                <c:pt idx="2">
                  <c:v>0.96709504546812308</c:v>
                </c:pt>
                <c:pt idx="3">
                  <c:v>0.95143627188225355</c:v>
                </c:pt>
                <c:pt idx="4">
                  <c:v>0.93627306548410649</c:v>
                </c:pt>
                <c:pt idx="5">
                  <c:v>0.92158221523605777</c:v>
                </c:pt>
                <c:pt idx="6">
                  <c:v>0.90734193740164515</c:v>
                </c:pt>
                <c:pt idx="7">
                  <c:v>0.89353176749736696</c:v>
                </c:pt>
                <c:pt idx="8">
                  <c:v>0.88620274469563631</c:v>
                </c:pt>
                <c:pt idx="9">
                  <c:v>0.47732136143871817</c:v>
                </c:pt>
                <c:pt idx="10">
                  <c:v>0.33047620548151485</c:v>
                </c:pt>
                <c:pt idx="11">
                  <c:v>0.32284435023319624</c:v>
                </c:pt>
                <c:pt idx="12">
                  <c:v>0.31553947429908552</c:v>
                </c:pt>
                <c:pt idx="13">
                  <c:v>0.30854071792582449</c:v>
                </c:pt>
                <c:pt idx="14">
                  <c:v>0.30182896291866373</c:v>
                </c:pt>
                <c:pt idx="15">
                  <c:v>0.29538665465026259</c:v>
                </c:pt>
                <c:pt idx="16">
                  <c:v>0.28919764545935223</c:v>
                </c:pt>
                <c:pt idx="17">
                  <c:v>0.28324705649923249</c:v>
                </c:pt>
                <c:pt idx="18">
                  <c:v>0.27752115554901613</c:v>
                </c:pt>
                <c:pt idx="19">
                  <c:v>0.27200724867645359</c:v>
                </c:pt>
                <c:pt idx="20">
                  <c:v>0.26669358395436388</c:v>
                </c:pt>
                <c:pt idx="21">
                  <c:v>0.26156926569455968</c:v>
                </c:pt>
                <c:pt idx="22">
                  <c:v>0.25662417788288838</c:v>
                </c:pt>
                <c:pt idx="23">
                  <c:v>0.25184891568399809</c:v>
                </c:pt>
                <c:pt idx="24">
                  <c:v>0.24723472404068708</c:v>
                </c:pt>
                <c:pt idx="25">
                  <c:v>0.24277344252508132</c:v>
                </c:pt>
                <c:pt idx="26">
                  <c:v>0.23845745571138852</c:v>
                </c:pt>
                <c:pt idx="27">
                  <c:v>0.23427964843585775</c:v>
                </c:pt>
                <c:pt idx="28">
                  <c:v>0.23023336539152928</c:v>
                </c:pt>
                <c:pt idx="29">
                  <c:v>0.2263123745755832</c:v>
                </c:pt>
                <c:pt idx="30">
                  <c:v>0.22251083416744075</c:v>
                </c:pt>
                <c:pt idx="31">
                  <c:v>0.21882326246774642</c:v>
                </c:pt>
                <c:pt idx="32">
                  <c:v>0.21524451057324517</c:v>
                </c:pt>
                <c:pt idx="33">
                  <c:v>0.21176973750141037</c:v>
                </c:pt>
                <c:pt idx="34">
                  <c:v>0.20839438751238232</c:v>
                </c:pt>
                <c:pt idx="35">
                  <c:v>0.20511416940507313</c:v>
                </c:pt>
                <c:pt idx="36">
                  <c:v>0.20192503758982353</c:v>
                </c:pt>
                <c:pt idx="37">
                  <c:v>0.19882317476228548</c:v>
                </c:pt>
                <c:pt idx="38">
                  <c:v>0.19580497602270636</c:v>
                </c:pt>
                <c:pt idx="39">
                  <c:v>0.19286703430188068</c:v>
                </c:pt>
                <c:pt idx="40">
                  <c:v>0.19000612697005162</c:v>
                </c:pt>
                <c:pt idx="41">
                  <c:v>0.18721920351825042</c:v>
                </c:pt>
                <c:pt idx="42">
                  <c:v>0.18450337421320911</c:v>
                </c:pt>
                <c:pt idx="43">
                  <c:v>0.18185589963725923</c:v>
                </c:pt>
                <c:pt idx="44">
                  <c:v>0.17927418103372678</c:v>
                </c:pt>
                <c:pt idx="45">
                  <c:v>0.17675575138638788</c:v>
                </c:pt>
                <c:pt idx="46">
                  <c:v>0.17429826716870134</c:v>
                </c:pt>
                <c:pt idx="47">
                  <c:v>0.1718995007048873</c:v>
                </c:pt>
                <c:pt idx="48">
                  <c:v>0.16955733309057913</c:v>
                </c:pt>
                <c:pt idx="49">
                  <c:v>0.16726974762581739</c:v>
                </c:pt>
                <c:pt idx="50">
                  <c:v>0.16503482371765629</c:v>
                </c:pt>
                <c:pt idx="51">
                  <c:v>0.16285073121367943</c:v>
                </c:pt>
                <c:pt idx="52">
                  <c:v>0.16071572513132334</c:v>
                </c:pt>
                <c:pt idx="53">
                  <c:v>0.15862814075113796</c:v>
                </c:pt>
                <c:pt idx="54">
                  <c:v>0.15658638904501304</c:v>
                </c:pt>
                <c:pt idx="55">
                  <c:v>0.15458895241300563</c:v>
                </c:pt>
                <c:pt idx="56">
                  <c:v>0.15263438070474789</c:v>
                </c:pt>
                <c:pt idx="57">
                  <c:v>0.15072128750353014</c:v>
                </c:pt>
                <c:pt idx="58">
                  <c:v>0.14884834665305754</c:v>
                </c:pt>
                <c:pt idx="59">
                  <c:v>0.14701428900860189</c:v>
                </c:pt>
                <c:pt idx="60">
                  <c:v>0.14521789939582702</c:v>
                </c:pt>
                <c:pt idx="61">
                  <c:v>0.14345801376197437</c:v>
                </c:pt>
                <c:pt idx="62">
                  <c:v>0.14173351650537316</c:v>
                </c:pt>
                <c:pt idx="63">
                  <c:v>0.14004333797039703</c:v>
                </c:pt>
                <c:pt idx="64">
                  <c:v>0.1383864520960417</c:v>
                </c:pt>
                <c:pt idx="65">
                  <c:v>0.13676187420725386</c:v>
                </c:pt>
                <c:pt idx="66">
                  <c:v>0.13516865893901203</c:v>
                </c:pt>
                <c:pt idx="67">
                  <c:v>0.13505431842902257</c:v>
                </c:pt>
                <c:pt idx="68">
                  <c:v>0.1677456925930203</c:v>
                </c:pt>
                <c:pt idx="69">
                  <c:v>0.16420219345330914</c:v>
                </c:pt>
                <c:pt idx="70">
                  <c:v>0.160796437819368</c:v>
                </c:pt>
                <c:pt idx="71">
                  <c:v>0.15752042293479412</c:v>
                </c:pt>
                <c:pt idx="72">
                  <c:v>0.15436675624183507</c:v>
                </c:pt>
                <c:pt idx="73">
                  <c:v>0.15132859832659024</c:v>
                </c:pt>
                <c:pt idx="74">
                  <c:v>0.14839961214735198</c:v>
                </c:pt>
                <c:pt idx="75">
                  <c:v>0.14557391775338896</c:v>
                </c:pt>
                <c:pt idx="76">
                  <c:v>0.1428460518137476</c:v>
                </c:pt>
                <c:pt idx="77">
                  <c:v>0.14021093137034304</c:v>
                </c:pt>
                <c:pt idx="78">
                  <c:v>0.13766382130973143</c:v>
                </c:pt>
                <c:pt idx="79">
                  <c:v>0.13520030511595699</c:v>
                </c:pt>
                <c:pt idx="80">
                  <c:v>0.13281625852474777</c:v>
                </c:pt>
                <c:pt idx="81">
                  <c:v>0.13050782574874034</c:v>
                </c:pt>
                <c:pt idx="82">
                  <c:v>0.12827139798570891</c:v>
                </c:pt>
                <c:pt idx="83">
                  <c:v>0.12610359395806886</c:v>
                </c:pt>
                <c:pt idx="84">
                  <c:v>0.12400124226315265</c:v>
                </c:pt>
                <c:pt idx="85">
                  <c:v>0.12196136534069872</c:v>
                </c:pt>
                <c:pt idx="86">
                  <c:v>0.11998116488728093</c:v>
                </c:pt>
                <c:pt idx="87">
                  <c:v>0.1180580085675941</c:v>
                </c:pt>
                <c:pt idx="88">
                  <c:v>0.11618941789004125</c:v>
                </c:pt>
                <c:pt idx="89">
                  <c:v>0.11437305712933149</c:v>
                </c:pt>
                <c:pt idx="90">
                  <c:v>0.11260672319210958</c:v>
                </c:pt>
                <c:pt idx="91">
                  <c:v>0.11088833633327379</c:v>
                </c:pt>
                <c:pt idx="92">
                  <c:v>0.10921593164083207</c:v>
                </c:pt>
                <c:pt idx="93">
                  <c:v>0.10758765121608878</c:v>
                </c:pt>
                <c:pt idx="94">
                  <c:v>0.10600173698381771</c:v>
                </c:pt>
                <c:pt idx="95">
                  <c:v>0.1044565240740019</c:v>
                </c:pt>
                <c:pt idx="96">
                  <c:v>0.10295043472283162</c:v>
                </c:pt>
                <c:pt idx="97">
                  <c:v>0.1014819726460527</c:v>
                </c:pt>
                <c:pt idx="98">
                  <c:v>0.10004971784253765</c:v>
                </c:pt>
                <c:pt idx="99">
                  <c:v>9.8652321790193662E-2</c:v>
                </c:pt>
                <c:pt idx="100">
                  <c:v>9.7288503000085375E-2</c:v>
                </c:pt>
                <c:pt idx="101">
                  <c:v>9.5957042898002651E-2</c:v>
                </c:pt>
                <c:pt idx="102">
                  <c:v>9.4656782005684711E-2</c:v>
                </c:pt>
                <c:pt idx="103">
                  <c:v>9.3386616396578442E-2</c:v>
                </c:pt>
                <c:pt idx="104">
                  <c:v>9.2145494403384251E-2</c:v>
                </c:pt>
                <c:pt idx="105">
                  <c:v>9.0932413556773409E-2</c:v>
                </c:pt>
                <c:pt idx="106">
                  <c:v>8.9746417736566941E-2</c:v>
                </c:pt>
                <c:pt idx="107">
                  <c:v>8.8586594518377665E-2</c:v>
                </c:pt>
                <c:pt idx="108">
                  <c:v>8.7452072700252917E-2</c:v>
                </c:pt>
                <c:pt idx="109">
                  <c:v>8.6342019995238273E-2</c:v>
                </c:pt>
                <c:pt idx="110">
                  <c:v>8.5255640877027319E-2</c:v>
                </c:pt>
                <c:pt idx="111">
                  <c:v>8.4192174566984926E-2</c:v>
                </c:pt>
                <c:pt idx="112">
                  <c:v>8.3150893151843833E-2</c:v>
                </c:pt>
                <c:pt idx="113">
                  <c:v>8.2131099822291151E-2</c:v>
                </c:pt>
                <c:pt idx="114">
                  <c:v>8.1132127223488532E-2</c:v>
                </c:pt>
                <c:pt idx="115">
                  <c:v>8.0153335909320805E-2</c:v>
                </c:pt>
                <c:pt idx="116">
                  <c:v>7.9194112892847793E-2</c:v>
                </c:pt>
                <c:pt idx="117">
                  <c:v>7.8253870286051463E-2</c:v>
                </c:pt>
                <c:pt idx="118">
                  <c:v>7.7332044022532465E-2</c:v>
                </c:pt>
                <c:pt idx="119">
                  <c:v>7.5968054116325207E-2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E7-4676-8091-F18D4757AF70}"/>
            </c:ext>
          </c:extLst>
        </c:ser>
        <c:ser>
          <c:idx val="2"/>
          <c:order val="2"/>
          <c:tx>
            <c:strRef>
              <c:f>'Graph Data'!$AE$1</c:f>
              <c:strCache>
                <c:ptCount val="1"/>
                <c:pt idx="0">
                  <c:v>Po/Po1</c:v>
                </c:pt>
              </c:strCache>
            </c:strRef>
          </c:tx>
          <c:spPr>
            <a:ln w="19050" cap="rnd">
              <a:solidFill>
                <a:srgbClr val="00FF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'Graph Data'!$AB$3:$AB$122</c:f>
              <c:numCache>
                <c:formatCode>General</c:formatCode>
                <c:ptCount val="120"/>
                <c:pt idx="0">
                  <c:v>0</c:v>
                </c:pt>
                <c:pt idx="1">
                  <c:v>8.6100346898532291E-3</c:v>
                </c:pt>
                <c:pt idx="2">
                  <c:v>0.20151518048001646</c:v>
                </c:pt>
                <c:pt idx="3">
                  <c:v>0.29491351872796423</c:v>
                </c:pt>
                <c:pt idx="4">
                  <c:v>0.38381871075858637</c:v>
                </c:pt>
                <c:pt idx="5">
                  <c:v>0.46851050352093249</c:v>
                </c:pt>
                <c:pt idx="6">
                  <c:v>0.54924726693564885</c:v>
                </c:pt>
                <c:pt idx="7">
                  <c:v>0.62626792281429722</c:v>
                </c:pt>
                <c:pt idx="8">
                  <c:v>0.6666312526803102</c:v>
                </c:pt>
                <c:pt idx="9">
                  <c:v>0.66664525389696616</c:v>
                </c:pt>
                <c:pt idx="10">
                  <c:v>0.66664525389696616</c:v>
                </c:pt>
                <c:pt idx="11">
                  <c:v>0.67898098769726789</c:v>
                </c:pt>
                <c:pt idx="12">
                  <c:v>0.69037088935707036</c:v>
                </c:pt>
                <c:pt idx="13">
                  <c:v>0.70089838408939864</c:v>
                </c:pt>
                <c:pt idx="14">
                  <c:v>0.71063814034230532</c:v>
                </c:pt>
                <c:pt idx="15">
                  <c:v>0.71965714128142577</c:v>
                </c:pt>
                <c:pt idx="16">
                  <c:v>0.72801560687438749</c:v>
                </c:pt>
                <c:pt idx="17">
                  <c:v>0.73576778987938063</c:v>
                </c:pt>
                <c:pt idx="18">
                  <c:v>0.74296266503330566</c:v>
                </c:pt>
                <c:pt idx="19">
                  <c:v>0.74964452747879662</c:v>
                </c:pt>
                <c:pt idx="20">
                  <c:v>0.75585351381221755</c:v>
                </c:pt>
                <c:pt idx="21">
                  <c:v>0.76162605695751773</c:v>
                </c:pt>
                <c:pt idx="22">
                  <c:v>0.76699528427995756</c:v>
                </c:pt>
                <c:pt idx="23">
                  <c:v>0.77199136687511771</c:v>
                </c:pt>
                <c:pt idx="24">
                  <c:v>0.77664182674343907</c:v>
                </c:pt>
                <c:pt idx="25">
                  <c:v>0.78097180754184992</c:v>
                </c:pt>
                <c:pt idx="26">
                  <c:v>0.78500431375419977</c:v>
                </c:pt>
                <c:pt idx="27">
                  <c:v>0.78876042241096334</c:v>
                </c:pt>
                <c:pt idx="28">
                  <c:v>0.79225947089155435</c:v>
                </c:pt>
                <c:pt idx="29">
                  <c:v>0.79551922383979001</c:v>
                </c:pt>
                <c:pt idx="30">
                  <c:v>0.79855602179843133</c:v>
                </c:pt>
                <c:pt idx="31">
                  <c:v>0.80138491380914756</c:v>
                </c:pt>
                <c:pt idx="32">
                  <c:v>0.80401977591891494</c:v>
                </c:pt>
                <c:pt idx="33">
                  <c:v>0.8064734172739102</c:v>
                </c:pt>
                <c:pt idx="34">
                  <c:v>0.80875767526008224</c:v>
                </c:pt>
                <c:pt idx="35">
                  <c:v>0.81088350095974593</c:v>
                </c:pt>
                <c:pt idx="36">
                  <c:v>0.81286103603072024</c:v>
                </c:pt>
                <c:pt idx="37">
                  <c:v>0.8146996819745701</c:v>
                </c:pt>
                <c:pt idx="38">
                  <c:v>0.81640816263991978</c:v>
                </c:pt>
                <c:pt idx="39">
                  <c:v>0.81799458070268738</c:v>
                </c:pt>
                <c:pt idx="40">
                  <c:v>0.81946646877499418</c:v>
                </c:pt>
                <c:pt idx="41">
                  <c:v>0.82083083571639626</c:v>
                </c:pt>
                <c:pt idx="42">
                  <c:v>0.82209420865321892</c:v>
                </c:pt>
                <c:pt idx="43">
                  <c:v>0.82326267115271168</c:v>
                </c:pt>
                <c:pt idx="44">
                  <c:v>0.82434189794722412</c:v>
                </c:pt>
                <c:pt idx="45">
                  <c:v>0.82533718655860278</c:v>
                </c:pt>
                <c:pt idx="46">
                  <c:v>0.8262534861336136</c:v>
                </c:pt>
                <c:pt idx="47">
                  <c:v>0.82709542376666412</c:v>
                </c:pt>
                <c:pt idx="48">
                  <c:v>0.82786732855576561</c:v>
                </c:pt>
                <c:pt idx="49">
                  <c:v>0.82857325361099754</c:v>
                </c:pt>
                <c:pt idx="50">
                  <c:v>0.82921699621122458</c:v>
                </c:pt>
                <c:pt idx="51">
                  <c:v>0.82980211628407463</c:v>
                </c:pt>
                <c:pt idx="52">
                  <c:v>0.83033195336584953</c:v>
                </c:pt>
                <c:pt idx="53">
                  <c:v>0.83080964218180775</c:v>
                </c:pt>
                <c:pt idx="54">
                  <c:v>0.83123812697287913</c:v>
                </c:pt>
                <c:pt idx="55">
                  <c:v>0.8316201746820947</c:v>
                </c:pt>
                <c:pt idx="56">
                  <c:v>0.83195838710266734</c:v>
                </c:pt>
                <c:pt idx="57">
                  <c:v>0.83225521207955377</c:v>
                </c:pt>
                <c:pt idx="58">
                  <c:v>0.83251295384732182</c:v>
                </c:pt>
                <c:pt idx="59">
                  <c:v>0.83273378257911357</c:v>
                </c:pt>
                <c:pt idx="60">
                  <c:v>0.8329197432143064</c:v>
                </c:pt>
                <c:pt idx="61">
                  <c:v>0.83307276362605831</c:v>
                </c:pt>
                <c:pt idx="62">
                  <c:v>0.83319466218416083</c:v>
                </c:pt>
                <c:pt idx="63">
                  <c:v>0.83328715476346504</c:v>
                </c:pt>
                <c:pt idx="64">
                  <c:v>0.83335186124351246</c:v>
                </c:pt>
                <c:pt idx="65">
                  <c:v>0.83339031154083787</c:v>
                </c:pt>
                <c:pt idx="66">
                  <c:v>0.83340395121165844</c:v>
                </c:pt>
                <c:pt idx="67">
                  <c:v>0.83340401267041853</c:v>
                </c:pt>
                <c:pt idx="68">
                  <c:v>0.83330656737120767</c:v>
                </c:pt>
                <c:pt idx="69">
                  <c:v>0.84555319814118635</c:v>
                </c:pt>
                <c:pt idx="70">
                  <c:v>0.856907784657989</c:v>
                </c:pt>
                <c:pt idx="71">
                  <c:v>0.86744291554546549</c:v>
                </c:pt>
                <c:pt idx="72">
                  <c:v>0.87722418820714754</c:v>
                </c:pt>
                <c:pt idx="73">
                  <c:v>0.88631099351567677</c:v>
                </c:pt>
                <c:pt idx="74">
                  <c:v>0.89475720005131432</c:v>
                </c:pt>
                <c:pt idx="75">
                  <c:v>0.90261175229212143</c:v>
                </c:pt>
                <c:pt idx="76">
                  <c:v>0.90991919487875961</c:v>
                </c:pt>
                <c:pt idx="77">
                  <c:v>0.91672013319093404</c:v>
                </c:pt>
                <c:pt idx="78">
                  <c:v>0.92305163890679209</c:v>
                </c:pt>
                <c:pt idx="79">
                  <c:v>0.92894760791230235</c:v>
                </c:pt>
                <c:pt idx="80">
                  <c:v>0.93443907683759708</c:v>
                </c:pt>
                <c:pt idx="81">
                  <c:v>0.93955450358336845</c:v>
                </c:pt>
                <c:pt idx="82">
                  <c:v>0.94432001643189523</c:v>
                </c:pt>
                <c:pt idx="83">
                  <c:v>0.94875963568908706</c:v>
                </c:pt>
                <c:pt idx="84">
                  <c:v>0.95289547125570473</c:v>
                </c:pt>
                <c:pt idx="85">
                  <c:v>0.95674789906093283</c:v>
                </c:pt>
                <c:pt idx="86">
                  <c:v>0.96033571889607117</c:v>
                </c:pt>
                <c:pt idx="87">
                  <c:v>0.96367629584899894</c:v>
                </c:pt>
                <c:pt idx="88">
                  <c:v>0.96678568725192571</c:v>
                </c:pt>
                <c:pt idx="89">
                  <c:v>0.96967875680808568</c:v>
                </c:pt>
                <c:pt idx="90">
                  <c:v>0.97236927735103906</c:v>
                </c:pt>
                <c:pt idx="91">
                  <c:v>0.97487002350776586</c:v>
                </c:pt>
                <c:pt idx="92">
                  <c:v>0.97719285537935063</c:v>
                </c:pt>
                <c:pt idx="93">
                  <c:v>0.97934879421698207</c:v>
                </c:pt>
                <c:pt idx="94">
                  <c:v>0.98134809095313014</c:v>
                </c:pt>
                <c:pt idx="95">
                  <c:v>0.98320028834545736</c:v>
                </c:pt>
                <c:pt idx="96">
                  <c:v>0.98491427740203885</c:v>
                </c:pt>
                <c:pt idx="97">
                  <c:v>0.98649834867894293</c:v>
                </c:pt>
                <c:pt idx="98">
                  <c:v>0.98796023897353646</c:v>
                </c:pt>
                <c:pt idx="99">
                  <c:v>0.98930717387769107</c:v>
                </c:pt>
                <c:pt idx="100">
                  <c:v>0.99054590660320974</c:v>
                </c:pt>
                <c:pt idx="101">
                  <c:v>0.99168275344628209</c:v>
                </c:pt>
                <c:pt idx="102">
                  <c:v>0.99272362621778321</c:v>
                </c:pt>
                <c:pt idx="103">
                  <c:v>0.99367406193099173</c:v>
                </c:pt>
                <c:pt idx="104">
                  <c:v>0.99453925000725973</c:v>
                </c:pt>
                <c:pt idx="105">
                  <c:v>0.9953240572327221</c:v>
                </c:pt>
                <c:pt idx="106">
                  <c:v>0.99603305067486692</c:v>
                </c:pt>
                <c:pt idx="107">
                  <c:v>0.99667051874629731</c:v>
                </c:pt>
                <c:pt idx="108">
                  <c:v>0.99724049058393993</c:v>
                </c:pt>
                <c:pt idx="109">
                  <c:v>0.99774675389501311</c:v>
                </c:pt>
                <c:pt idx="110">
                  <c:v>0.99819287140600077</c:v>
                </c:pt>
                <c:pt idx="111">
                  <c:v>0.99858219603745202</c:v>
                </c:pt>
                <c:pt idx="112">
                  <c:v>0.99891788491544919</c:v>
                </c:pt>
                <c:pt idx="113">
                  <c:v>0.99920291231990166</c:v>
                </c:pt>
                <c:pt idx="114">
                  <c:v>0.99944008166025</c:v>
                </c:pt>
                <c:pt idx="115">
                  <c:v>0.99963203656061661</c:v>
                </c:pt>
                <c:pt idx="116">
                  <c:v>0.99978127112875703</c:v>
                </c:pt>
                <c:pt idx="117">
                  <c:v>0.99989013947628391</c:v>
                </c:pt>
                <c:pt idx="118">
                  <c:v>0.99996086455145161</c:v>
                </c:pt>
                <c:pt idx="119">
                  <c:v>1</c:v>
                </c:pt>
              </c:numCache>
            </c:numRef>
          </c:xVal>
          <c:yVal>
            <c:numRef>
              <c:f>'Graph Data'!$AE$3:$AE$122</c:f>
              <c:numCache>
                <c:formatCode>General</c:formatCode>
                <c:ptCount val="120"/>
                <c:pt idx="0">
                  <c:v>1</c:v>
                </c:pt>
                <c:pt idx="1">
                  <c:v>0.9837843557914967</c:v>
                </c:pt>
                <c:pt idx="2">
                  <c:v>0.96810729741223567</c:v>
                </c:pt>
                <c:pt idx="3">
                  <c:v>0.95294279140802818</c:v>
                </c:pt>
                <c:pt idx="4">
                  <c:v>0.93826645605654424</c:v>
                </c:pt>
                <c:pt idx="5">
                  <c:v>0.92405543242514898</c:v>
                </c:pt>
                <c:pt idx="6">
                  <c:v>0.91028826732207979</c:v>
                </c:pt>
                <c:pt idx="7">
                  <c:v>0.89694480688048228</c:v>
                </c:pt>
                <c:pt idx="8">
                  <c:v>0.88986674635406049</c:v>
                </c:pt>
                <c:pt idx="9">
                  <c:v>0.88988633508527104</c:v>
                </c:pt>
                <c:pt idx="10">
                  <c:v>0.37161017948345654</c:v>
                </c:pt>
                <c:pt idx="11">
                  <c:v>0.36520712863653865</c:v>
                </c:pt>
                <c:pt idx="12">
                  <c:v>0.35913051477016067</c:v>
                </c:pt>
                <c:pt idx="13">
                  <c:v>0.35335990346717933</c:v>
                </c:pt>
                <c:pt idx="14">
                  <c:v>0.34787657635808245</c:v>
                </c:pt>
                <c:pt idx="15">
                  <c:v>0.3426633558341966</c:v>
                </c:pt>
                <c:pt idx="16">
                  <c:v>0.33770445082754108</c:v>
                </c:pt>
                <c:pt idx="17">
                  <c:v>0.33298532076171222</c:v>
                </c:pt>
                <c:pt idx="18">
                  <c:v>0.32849255522428195</c:v>
                </c:pt>
                <c:pt idx="19">
                  <c:v>0.32421376728143558</c:v>
                </c:pt>
                <c:pt idx="20">
                  <c:v>0.32013749866404012</c:v>
                </c:pt>
                <c:pt idx="21">
                  <c:v>0.31625313531222898</c:v>
                </c:pt>
                <c:pt idx="22">
                  <c:v>0.31255083198201833</c:v>
                </c:pt>
                <c:pt idx="23">
                  <c:v>0.30902144479965216</c:v>
                </c:pt>
                <c:pt idx="24">
                  <c:v>0.30565647080326658</c:v>
                </c:pt>
                <c:pt idx="25">
                  <c:v>0.30244799364184943</c:v>
                </c:pt>
                <c:pt idx="26">
                  <c:v>0.299388634712278</c:v>
                </c:pt>
                <c:pt idx="27">
                  <c:v>0.29647150910964415</c:v>
                </c:pt>
                <c:pt idx="28">
                  <c:v>0.29369018584680157</c:v>
                </c:pt>
                <c:pt idx="29">
                  <c:v>0.29103865186822403</c:v>
                </c:pt>
                <c:pt idx="30">
                  <c:v>0.28851127944270816</c:v>
                </c:pt>
                <c:pt idx="31">
                  <c:v>0.28610279657063098</c:v>
                </c:pt>
                <c:pt idx="32">
                  <c:v>0.2838082600856926</c:v>
                </c:pt>
                <c:pt idx="33">
                  <c:v>0.28162303116931836</c:v>
                </c:pt>
                <c:pt idx="34">
                  <c:v>0.27954275302910098</c:v>
                </c:pt>
                <c:pt idx="35">
                  <c:v>0.27756333052150367</c:v>
                </c:pt>
                <c:pt idx="36">
                  <c:v>0.27568091152420338</c:v>
                </c:pt>
                <c:pt idx="37">
                  <c:v>0.27389186988539227</c:v>
                </c:pt>
                <c:pt idx="38">
                  <c:v>0.27219278979657291</c:v>
                </c:pt>
                <c:pt idx="39">
                  <c:v>0.27058045145220605</c:v>
                </c:pt>
                <c:pt idx="40">
                  <c:v>0.26905181787436894</c:v>
                </c:pt>
                <c:pt idx="41">
                  <c:v>0.26760402279357864</c:v>
                </c:pt>
                <c:pt idx="42">
                  <c:v>0.26623435948841273</c:v>
                </c:pt>
                <c:pt idx="43">
                  <c:v>0.26494027049668051</c:v>
                </c:pt>
                <c:pt idx="44">
                  <c:v>0.26371933811985632</c:v>
                </c:pt>
                <c:pt idx="45">
                  <c:v>0.26256927565042093</c:v>
                </c:pt>
                <c:pt idx="46">
                  <c:v>0.26148791925879933</c:v>
                </c:pt>
                <c:pt idx="47">
                  <c:v>0.26047322048284161</c:v>
                </c:pt>
                <c:pt idx="48">
                  <c:v>0.25952323926836507</c:v>
                </c:pt>
                <c:pt idx="49">
                  <c:v>0.25863613751424142</c:v>
                </c:pt>
                <c:pt idx="50">
                  <c:v>0.25781017307994841</c:v>
                </c:pt>
                <c:pt idx="51">
                  <c:v>0.25704369421746537</c:v>
                </c:pt>
                <c:pt idx="52">
                  <c:v>0.25633513439294814</c:v>
                </c:pt>
                <c:pt idx="53">
                  <c:v>0.25568300746679151</c:v>
                </c:pt>
                <c:pt idx="54">
                  <c:v>0.2550859032035499</c:v>
                </c:pt>
                <c:pt idx="55">
                  <c:v>0.25454248308575095</c:v>
                </c:pt>
                <c:pt idx="56">
                  <c:v>0.25405147640794595</c:v>
                </c:pt>
                <c:pt idx="57">
                  <c:v>0.25361167662942447</c:v>
                </c:pt>
                <c:pt idx="58">
                  <c:v>0.25322193796589537</c:v>
                </c:pt>
                <c:pt idx="59">
                  <c:v>0.25288117220213485</c:v>
                </c:pt>
                <c:pt idx="60">
                  <c:v>0.25258834570913219</c:v>
                </c:pt>
                <c:pt idx="61">
                  <c:v>0.25234247665065579</c:v>
                </c:pt>
                <c:pt idx="62">
                  <c:v>0.25214263236541368</c:v>
                </c:pt>
                <c:pt idx="63">
                  <c:v>0.25198792691213162</c:v>
                </c:pt>
                <c:pt idx="64">
                  <c:v>0.2518775187658987</c:v>
                </c:pt>
                <c:pt idx="65">
                  <c:v>0.2518106086550807</c:v>
                </c:pt>
                <c:pt idx="66">
                  <c:v>0.25178643752895236</c:v>
                </c:pt>
                <c:pt idx="67">
                  <c:v>0.25178632714444732</c:v>
                </c:pt>
                <c:pt idx="68">
                  <c:v>0.19403184368219123</c:v>
                </c:pt>
                <c:pt idx="69">
                  <c:v>0.19118000024282383</c:v>
                </c:pt>
                <c:pt idx="70">
                  <c:v>0.18846657906115449</c:v>
                </c:pt>
                <c:pt idx="71">
                  <c:v>0.18588376238767887</c:v>
                </c:pt>
                <c:pt idx="72">
                  <c:v>0.1834243339419046</c:v>
                </c:pt>
                <c:pt idx="73">
                  <c:v>0.18108162272798403</c:v>
                </c:pt>
                <c:pt idx="74">
                  <c:v>0.17884945303851757</c:v>
                </c:pt>
                <c:pt idx="75">
                  <c:v>0.17672209986580753</c:v>
                </c:pt>
                <c:pt idx="76">
                  <c:v>0.17469424905041644</c:v>
                </c:pt>
                <c:pt idx="77">
                  <c:v>0.17276096159015022</c:v>
                </c:pt>
                <c:pt idx="78">
                  <c:v>0.17091764161149647</c:v>
                </c:pt>
                <c:pt idx="79">
                  <c:v>0.16916000757252114</c:v>
                </c:pt>
                <c:pt idx="80">
                  <c:v>0.16748406632323637</c:v>
                </c:pt>
                <c:pt idx="81">
                  <c:v>0.16588608969810828</c:v>
                </c:pt>
                <c:pt idx="82">
                  <c:v>0.16436259335703302</c:v>
                </c:pt>
                <c:pt idx="83">
                  <c:v>0.16291031762685279</c:v>
                </c:pt>
                <c:pt idx="84">
                  <c:v>0.16152621012624405</c:v>
                </c:pt>
                <c:pt idx="85">
                  <c:v>0.1602074099833399</c:v>
                </c:pt>
                <c:pt idx="86">
                  <c:v>0.15895123347838999</c:v>
                </c:pt>
                <c:pt idx="87">
                  <c:v>0.15775516096363892</c:v>
                </c:pt>
                <c:pt idx="88">
                  <c:v>0.15661682492987405</c:v>
                </c:pt>
                <c:pt idx="89">
                  <c:v>0.15553399910412305</c:v>
                </c:pt>
                <c:pt idx="90">
                  <c:v>0.15450458847609366</c:v>
                </c:pt>
                <c:pt idx="91">
                  <c:v>0.15352662016240831</c:v>
                </c:pt>
                <c:pt idx="92">
                  <c:v>0.15259823502772621</c:v>
                </c:pt>
                <c:pt idx="93">
                  <c:v>0.15171767999065089</c:v>
                </c:pt>
                <c:pt idx="94">
                  <c:v>0.15088330095006619</c:v>
                </c:pt>
                <c:pt idx="95">
                  <c:v>0.15009353627436756</c:v>
                </c:pt>
                <c:pt idx="96">
                  <c:v>0.14934691080206752</c:v>
                </c:pt>
                <c:pt idx="97">
                  <c:v>0.14864203030757911</c:v>
                </c:pt>
                <c:pt idx="98">
                  <c:v>0.14797757639068762</c:v>
                </c:pt>
                <c:pt idx="99">
                  <c:v>0.14735230175239514</c:v>
                </c:pt>
                <c:pt idx="100">
                  <c:v>0.14676502582353615</c:v>
                </c:pt>
                <c:pt idx="101">
                  <c:v>0.14621463071585616</c:v>
                </c:pt>
                <c:pt idx="102">
                  <c:v>0.1457000574681892</c:v>
                </c:pt>
                <c:pt idx="103">
                  <c:v>0.14522030256298926</c:v>
                </c:pt>
                <c:pt idx="104">
                  <c:v>0.14477441469081664</c:v>
                </c:pt>
                <c:pt idx="105">
                  <c:v>0.14436149174247229</c:v>
                </c:pt>
                <c:pt idx="106">
                  <c:v>0.14398067801035744</c:v>
                </c:pt>
                <c:pt idx="107">
                  <c:v>0.1436311615823147</c:v>
                </c:pt>
                <c:pt idx="108">
                  <c:v>0.14331217191272524</c:v>
                </c:pt>
                <c:pt idx="109">
                  <c:v>0.14302297755699392</c:v>
                </c:pt>
                <c:pt idx="110">
                  <c:v>0.14276288405678467</c:v>
                </c:pt>
                <c:pt idx="111">
                  <c:v>0.1425312319644686</c:v>
                </c:pt>
                <c:pt idx="112">
                  <c:v>0.14232739499625061</c:v>
                </c:pt>
                <c:pt idx="113">
                  <c:v>0.14215077830433692</c:v>
                </c:pt>
                <c:pt idx="114">
                  <c:v>0.14200081685932539</c:v>
                </c:pt>
                <c:pt idx="115">
                  <c:v>0.14187697393473786</c:v>
                </c:pt>
                <c:pt idx="116">
                  <c:v>0.14177873968628341</c:v>
                </c:pt>
                <c:pt idx="117">
                  <c:v>0.14170562981905113</c:v>
                </c:pt>
                <c:pt idx="118">
                  <c:v>0.14165718433638202</c:v>
                </c:pt>
                <c:pt idx="119">
                  <c:v>0.14162980901875163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EE7-4676-8091-F18D4757AF70}"/>
            </c:ext>
          </c:extLst>
        </c:ser>
        <c:ser>
          <c:idx val="3"/>
          <c:order val="3"/>
          <c:tx>
            <c:strRef>
              <c:f>'Graph Data'!$AF$1</c:f>
              <c:strCache>
                <c:ptCount val="1"/>
                <c:pt idx="0">
                  <c:v>T/T1</c:v>
                </c:pt>
              </c:strCache>
            </c:strRef>
          </c:tx>
          <c:spPr>
            <a:ln w="19050" cap="rnd">
              <a:solidFill>
                <a:srgbClr val="FF99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 Data'!$AB$3:$AB$122</c:f>
              <c:numCache>
                <c:formatCode>General</c:formatCode>
                <c:ptCount val="120"/>
                <c:pt idx="0">
                  <c:v>0</c:v>
                </c:pt>
                <c:pt idx="1">
                  <c:v>8.6100346898532291E-3</c:v>
                </c:pt>
                <c:pt idx="2">
                  <c:v>0.20151518048001646</c:v>
                </c:pt>
                <c:pt idx="3">
                  <c:v>0.29491351872796423</c:v>
                </c:pt>
                <c:pt idx="4">
                  <c:v>0.38381871075858637</c:v>
                </c:pt>
                <c:pt idx="5">
                  <c:v>0.46851050352093249</c:v>
                </c:pt>
                <c:pt idx="6">
                  <c:v>0.54924726693564885</c:v>
                </c:pt>
                <c:pt idx="7">
                  <c:v>0.62626792281429722</c:v>
                </c:pt>
                <c:pt idx="8">
                  <c:v>0.6666312526803102</c:v>
                </c:pt>
                <c:pt idx="9">
                  <c:v>0.66664525389696616</c:v>
                </c:pt>
                <c:pt idx="10">
                  <c:v>0.66664525389696616</c:v>
                </c:pt>
                <c:pt idx="11">
                  <c:v>0.67898098769726789</c:v>
                </c:pt>
                <c:pt idx="12">
                  <c:v>0.69037088935707036</c:v>
                </c:pt>
                <c:pt idx="13">
                  <c:v>0.70089838408939864</c:v>
                </c:pt>
                <c:pt idx="14">
                  <c:v>0.71063814034230532</c:v>
                </c:pt>
                <c:pt idx="15">
                  <c:v>0.71965714128142577</c:v>
                </c:pt>
                <c:pt idx="16">
                  <c:v>0.72801560687438749</c:v>
                </c:pt>
                <c:pt idx="17">
                  <c:v>0.73576778987938063</c:v>
                </c:pt>
                <c:pt idx="18">
                  <c:v>0.74296266503330566</c:v>
                </c:pt>
                <c:pt idx="19">
                  <c:v>0.74964452747879662</c:v>
                </c:pt>
                <c:pt idx="20">
                  <c:v>0.75585351381221755</c:v>
                </c:pt>
                <c:pt idx="21">
                  <c:v>0.76162605695751773</c:v>
                </c:pt>
                <c:pt idx="22">
                  <c:v>0.76699528427995756</c:v>
                </c:pt>
                <c:pt idx="23">
                  <c:v>0.77199136687511771</c:v>
                </c:pt>
                <c:pt idx="24">
                  <c:v>0.77664182674343907</c:v>
                </c:pt>
                <c:pt idx="25">
                  <c:v>0.78097180754184992</c:v>
                </c:pt>
                <c:pt idx="26">
                  <c:v>0.78500431375419977</c:v>
                </c:pt>
                <c:pt idx="27">
                  <c:v>0.78876042241096334</c:v>
                </c:pt>
                <c:pt idx="28">
                  <c:v>0.79225947089155435</c:v>
                </c:pt>
                <c:pt idx="29">
                  <c:v>0.79551922383979001</c:v>
                </c:pt>
                <c:pt idx="30">
                  <c:v>0.79855602179843133</c:v>
                </c:pt>
                <c:pt idx="31">
                  <c:v>0.80138491380914756</c:v>
                </c:pt>
                <c:pt idx="32">
                  <c:v>0.80401977591891494</c:v>
                </c:pt>
                <c:pt idx="33">
                  <c:v>0.8064734172739102</c:v>
                </c:pt>
                <c:pt idx="34">
                  <c:v>0.80875767526008224</c:v>
                </c:pt>
                <c:pt idx="35">
                  <c:v>0.81088350095974593</c:v>
                </c:pt>
                <c:pt idx="36">
                  <c:v>0.81286103603072024</c:v>
                </c:pt>
                <c:pt idx="37">
                  <c:v>0.8146996819745701</c:v>
                </c:pt>
                <c:pt idx="38">
                  <c:v>0.81640816263991978</c:v>
                </c:pt>
                <c:pt idx="39">
                  <c:v>0.81799458070268738</c:v>
                </c:pt>
                <c:pt idx="40">
                  <c:v>0.81946646877499418</c:v>
                </c:pt>
                <c:pt idx="41">
                  <c:v>0.82083083571639626</c:v>
                </c:pt>
                <c:pt idx="42">
                  <c:v>0.82209420865321892</c:v>
                </c:pt>
                <c:pt idx="43">
                  <c:v>0.82326267115271168</c:v>
                </c:pt>
                <c:pt idx="44">
                  <c:v>0.82434189794722412</c:v>
                </c:pt>
                <c:pt idx="45">
                  <c:v>0.82533718655860278</c:v>
                </c:pt>
                <c:pt idx="46">
                  <c:v>0.8262534861336136</c:v>
                </c:pt>
                <c:pt idx="47">
                  <c:v>0.82709542376666412</c:v>
                </c:pt>
                <c:pt idx="48">
                  <c:v>0.82786732855576561</c:v>
                </c:pt>
                <c:pt idx="49">
                  <c:v>0.82857325361099754</c:v>
                </c:pt>
                <c:pt idx="50">
                  <c:v>0.82921699621122458</c:v>
                </c:pt>
                <c:pt idx="51">
                  <c:v>0.82980211628407463</c:v>
                </c:pt>
                <c:pt idx="52">
                  <c:v>0.83033195336584953</c:v>
                </c:pt>
                <c:pt idx="53">
                  <c:v>0.83080964218180775</c:v>
                </c:pt>
                <c:pt idx="54">
                  <c:v>0.83123812697287913</c:v>
                </c:pt>
                <c:pt idx="55">
                  <c:v>0.8316201746820947</c:v>
                </c:pt>
                <c:pt idx="56">
                  <c:v>0.83195838710266734</c:v>
                </c:pt>
                <c:pt idx="57">
                  <c:v>0.83225521207955377</c:v>
                </c:pt>
                <c:pt idx="58">
                  <c:v>0.83251295384732182</c:v>
                </c:pt>
                <c:pt idx="59">
                  <c:v>0.83273378257911357</c:v>
                </c:pt>
                <c:pt idx="60">
                  <c:v>0.8329197432143064</c:v>
                </c:pt>
                <c:pt idx="61">
                  <c:v>0.83307276362605831</c:v>
                </c:pt>
                <c:pt idx="62">
                  <c:v>0.83319466218416083</c:v>
                </c:pt>
                <c:pt idx="63">
                  <c:v>0.83328715476346504</c:v>
                </c:pt>
                <c:pt idx="64">
                  <c:v>0.83335186124351246</c:v>
                </c:pt>
                <c:pt idx="65">
                  <c:v>0.83339031154083787</c:v>
                </c:pt>
                <c:pt idx="66">
                  <c:v>0.83340395121165844</c:v>
                </c:pt>
                <c:pt idx="67">
                  <c:v>0.83340401267041853</c:v>
                </c:pt>
                <c:pt idx="68">
                  <c:v>0.83330656737120767</c:v>
                </c:pt>
                <c:pt idx="69">
                  <c:v>0.84555319814118635</c:v>
                </c:pt>
                <c:pt idx="70">
                  <c:v>0.856907784657989</c:v>
                </c:pt>
                <c:pt idx="71">
                  <c:v>0.86744291554546549</c:v>
                </c:pt>
                <c:pt idx="72">
                  <c:v>0.87722418820714754</c:v>
                </c:pt>
                <c:pt idx="73">
                  <c:v>0.88631099351567677</c:v>
                </c:pt>
                <c:pt idx="74">
                  <c:v>0.89475720005131432</c:v>
                </c:pt>
                <c:pt idx="75">
                  <c:v>0.90261175229212143</c:v>
                </c:pt>
                <c:pt idx="76">
                  <c:v>0.90991919487875961</c:v>
                </c:pt>
                <c:pt idx="77">
                  <c:v>0.91672013319093404</c:v>
                </c:pt>
                <c:pt idx="78">
                  <c:v>0.92305163890679209</c:v>
                </c:pt>
                <c:pt idx="79">
                  <c:v>0.92894760791230235</c:v>
                </c:pt>
                <c:pt idx="80">
                  <c:v>0.93443907683759708</c:v>
                </c:pt>
                <c:pt idx="81">
                  <c:v>0.93955450358336845</c:v>
                </c:pt>
                <c:pt idx="82">
                  <c:v>0.94432001643189523</c:v>
                </c:pt>
                <c:pt idx="83">
                  <c:v>0.94875963568908706</c:v>
                </c:pt>
                <c:pt idx="84">
                  <c:v>0.95289547125570473</c:v>
                </c:pt>
                <c:pt idx="85">
                  <c:v>0.95674789906093283</c:v>
                </c:pt>
                <c:pt idx="86">
                  <c:v>0.96033571889607117</c:v>
                </c:pt>
                <c:pt idx="87">
                  <c:v>0.96367629584899894</c:v>
                </c:pt>
                <c:pt idx="88">
                  <c:v>0.96678568725192571</c:v>
                </c:pt>
                <c:pt idx="89">
                  <c:v>0.96967875680808568</c:v>
                </c:pt>
                <c:pt idx="90">
                  <c:v>0.97236927735103906</c:v>
                </c:pt>
                <c:pt idx="91">
                  <c:v>0.97487002350776586</c:v>
                </c:pt>
                <c:pt idx="92">
                  <c:v>0.97719285537935063</c:v>
                </c:pt>
                <c:pt idx="93">
                  <c:v>0.97934879421698207</c:v>
                </c:pt>
                <c:pt idx="94">
                  <c:v>0.98134809095313014</c:v>
                </c:pt>
                <c:pt idx="95">
                  <c:v>0.98320028834545736</c:v>
                </c:pt>
                <c:pt idx="96">
                  <c:v>0.98491427740203885</c:v>
                </c:pt>
                <c:pt idx="97">
                  <c:v>0.98649834867894293</c:v>
                </c:pt>
                <c:pt idx="98">
                  <c:v>0.98796023897353646</c:v>
                </c:pt>
                <c:pt idx="99">
                  <c:v>0.98930717387769107</c:v>
                </c:pt>
                <c:pt idx="100">
                  <c:v>0.99054590660320974</c:v>
                </c:pt>
                <c:pt idx="101">
                  <c:v>0.99168275344628209</c:v>
                </c:pt>
                <c:pt idx="102">
                  <c:v>0.99272362621778321</c:v>
                </c:pt>
                <c:pt idx="103">
                  <c:v>0.99367406193099173</c:v>
                </c:pt>
                <c:pt idx="104">
                  <c:v>0.99453925000725973</c:v>
                </c:pt>
                <c:pt idx="105">
                  <c:v>0.9953240572327221</c:v>
                </c:pt>
                <c:pt idx="106">
                  <c:v>0.99603305067486692</c:v>
                </c:pt>
                <c:pt idx="107">
                  <c:v>0.99667051874629731</c:v>
                </c:pt>
                <c:pt idx="108">
                  <c:v>0.99724049058393993</c:v>
                </c:pt>
                <c:pt idx="109">
                  <c:v>0.99774675389501311</c:v>
                </c:pt>
                <c:pt idx="110">
                  <c:v>0.99819287140600077</c:v>
                </c:pt>
                <c:pt idx="111">
                  <c:v>0.99858219603745202</c:v>
                </c:pt>
                <c:pt idx="112">
                  <c:v>0.99891788491544919</c:v>
                </c:pt>
                <c:pt idx="113">
                  <c:v>0.99920291231990166</c:v>
                </c:pt>
                <c:pt idx="114">
                  <c:v>0.99944008166025</c:v>
                </c:pt>
                <c:pt idx="115">
                  <c:v>0.99963203656061661</c:v>
                </c:pt>
                <c:pt idx="116">
                  <c:v>0.99978127112875703</c:v>
                </c:pt>
                <c:pt idx="117">
                  <c:v>0.99989013947628391</c:v>
                </c:pt>
                <c:pt idx="118">
                  <c:v>0.99996086455145161</c:v>
                </c:pt>
                <c:pt idx="119">
                  <c:v>1</c:v>
                </c:pt>
              </c:numCache>
            </c:numRef>
          </c:xVal>
          <c:yVal>
            <c:numRef>
              <c:f>'Graph Data'!$AF$3:$AF$122</c:f>
              <c:numCache>
                <c:formatCode>General</c:formatCode>
                <c:ptCount val="120"/>
                <c:pt idx="0">
                  <c:v>1</c:v>
                </c:pt>
                <c:pt idx="1">
                  <c:v>0.99985179478626462</c:v>
                </c:pt>
                <c:pt idx="2">
                  <c:v>0.9997011458259879</c:v>
                </c:pt>
                <c:pt idx="3">
                  <c:v>0.99954805534806357</c:v>
                </c:pt>
                <c:pt idx="4">
                  <c:v>0.99939252561647318</c:v>
                </c:pt>
                <c:pt idx="5">
                  <c:v>0.99923455893020252</c:v>
                </c:pt>
                <c:pt idx="6">
                  <c:v>0.99907415762315777</c:v>
                </c:pt>
                <c:pt idx="7">
                  <c:v>0.99891132406407956</c:v>
                </c:pt>
                <c:pt idx="8">
                  <c:v>0.99882184531074525</c:v>
                </c:pt>
                <c:pt idx="9">
                  <c:v>0.83696543651041233</c:v>
                </c:pt>
                <c:pt idx="10">
                  <c:v>0.96703812909496178</c:v>
                </c:pt>
                <c:pt idx="11">
                  <c:v>0.96538629032892975</c:v>
                </c:pt>
                <c:pt idx="12">
                  <c:v>0.96370309593743775</c:v>
                </c:pt>
                <c:pt idx="13">
                  <c:v>0.96198890310108798</c:v>
                </c:pt>
                <c:pt idx="14">
                  <c:v>0.96024407360391839</c:v>
                </c:pt>
                <c:pt idx="15">
                  <c:v>0.958468973654509</c:v>
                </c:pt>
                <c:pt idx="16">
                  <c:v>0.95666397370647938</c:v>
                </c:pt>
                <c:pt idx="17">
                  <c:v>0.95482944827852545</c:v>
                </c:pt>
                <c:pt idx="18">
                  <c:v>0.95296577577414987</c:v>
                </c:pt>
                <c:pt idx="19">
                  <c:v>0.95107333830122942</c:v>
                </c:pt>
                <c:pt idx="20">
                  <c:v>0.94915252149156459</c:v>
                </c:pt>
                <c:pt idx="21">
                  <c:v>0.94720371432055916</c:v>
                </c:pt>
                <c:pt idx="22">
                  <c:v>0.94522730892716533</c:v>
                </c:pt>
                <c:pt idx="23">
                  <c:v>0.94322370043423454</c:v>
                </c:pt>
                <c:pt idx="24">
                  <c:v>0.94119328676941116</c:v>
                </c:pt>
                <c:pt idx="25">
                  <c:v>0.93913646848670007</c:v>
                </c:pt>
                <c:pt idx="26">
                  <c:v>0.93705364858883744</c:v>
                </c:pt>
                <c:pt idx="27">
                  <c:v>0.93494523235059479</c:v>
                </c:pt>
                <c:pt idx="28">
                  <c:v>0.93281162714313548</c:v>
                </c:pt>
                <c:pt idx="29">
                  <c:v>0.9306532422595486</c:v>
                </c:pt>
                <c:pt idx="30">
                  <c:v>0.92847048874167304</c:v>
                </c:pt>
                <c:pt idx="31">
                  <c:v>0.92626377920833081</c:v>
                </c:pt>
                <c:pt idx="32">
                  <c:v>0.92403352768507196</c:v>
                </c:pt>
                <c:pt idx="33">
                  <c:v>0.9217801494355472</c:v>
                </c:pt>
                <c:pt idx="34">
                  <c:v>0.91950406079460167</c:v>
                </c:pt>
                <c:pt idx="35">
                  <c:v>0.91720567900319772</c:v>
                </c:pt>
                <c:pt idx="36">
                  <c:v>0.91488542204525303</c:v>
                </c:pt>
                <c:pt idx="37">
                  <c:v>0.91254370848649524</c:v>
                </c:pt>
                <c:pt idx="38">
                  <c:v>0.91018095731541226</c:v>
                </c:pt>
                <c:pt idx="39">
                  <c:v>0.90779758778638864</c:v>
                </c:pt>
                <c:pt idx="40">
                  <c:v>0.90539401926510388</c:v>
                </c:pt>
                <c:pt idx="41">
                  <c:v>0.90297067107626938</c:v>
                </c:pt>
                <c:pt idx="42">
                  <c:v>0.90052796235377963</c:v>
                </c:pt>
                <c:pt idx="43">
                  <c:v>0.89806631189333996</c:v>
                </c:pt>
                <c:pt idx="44">
                  <c:v>0.89558613800764053</c:v>
                </c:pt>
                <c:pt idx="45">
                  <c:v>0.89308785838413374</c:v>
                </c:pt>
                <c:pt idx="46">
                  <c:v>0.89057188994547265</c:v>
                </c:pt>
                <c:pt idx="47">
                  <c:v>0.88803864871266347</c:v>
                </c:pt>
                <c:pt idx="48">
                  <c:v>0.88548854967098045</c:v>
                </c:pt>
                <c:pt idx="49">
                  <c:v>0.88292200663868747</c:v>
                </c:pt>
                <c:pt idx="50">
                  <c:v>0.88033943213860855</c:v>
                </c:pt>
                <c:pt idx="51">
                  <c:v>0.87774123727258568</c:v>
                </c:pt>
                <c:pt idx="52">
                  <c:v>0.87512783159885466</c:v>
                </c:pt>
                <c:pt idx="53">
                  <c:v>0.87249962301237249</c:v>
                </c:pt>
                <c:pt idx="54">
                  <c:v>0.86985701762812229</c:v>
                </c:pt>
                <c:pt idx="55">
                  <c:v>0.86720041966741612</c:v>
                </c:pt>
                <c:pt idx="56">
                  <c:v>0.86453023134721974</c:v>
                </c:pt>
                <c:pt idx="57">
                  <c:v>0.86184685277251261</c:v>
                </c:pt>
                <c:pt idx="58">
                  <c:v>0.85915068183169596</c:v>
                </c:pt>
                <c:pt idx="59">
                  <c:v>0.85644211409506288</c:v>
                </c:pt>
                <c:pt idx="60">
                  <c:v>0.85372154271633049</c:v>
                </c:pt>
                <c:pt idx="61">
                  <c:v>0.85098935833724298</c:v>
                </c:pt>
                <c:pt idx="62">
                  <c:v>0.84824594899524597</c:v>
                </c:pt>
                <c:pt idx="63">
                  <c:v>0.8454917000342248</c:v>
                </c:pt>
                <c:pt idx="64">
                  <c:v>0.84272699401830853</c:v>
                </c:pt>
                <c:pt idx="65">
                  <c:v>0.8399522106487266</c:v>
                </c:pt>
                <c:pt idx="66">
                  <c:v>0.83716772668370953</c:v>
                </c:pt>
                <c:pt idx="67">
                  <c:v>0.83696543651041233</c:v>
                </c:pt>
                <c:pt idx="68">
                  <c:v>0.95926075303129255</c:v>
                </c:pt>
                <c:pt idx="69">
                  <c:v>0.9574689813853966</c:v>
                </c:pt>
                <c:pt idx="70">
                  <c:v>0.9556475174994431</c:v>
                </c:pt>
                <c:pt idx="71">
                  <c:v>0.95379673807451482</c:v>
                </c:pt>
                <c:pt idx="72">
                  <c:v>0.95191702359618335</c:v>
                </c:pt>
                <c:pt idx="73">
                  <c:v>0.95000875815404939</c:v>
                </c:pt>
                <c:pt idx="74">
                  <c:v>0.94807232926134621</c:v>
                </c:pt>
                <c:pt idx="75">
                  <c:v>0.94610812767475005</c:v>
                </c:pt>
                <c:pt idx="76">
                  <c:v>0.94411654721453397</c:v>
                </c:pt>
                <c:pt idx="77">
                  <c:v>0.94209798458520411</c:v>
                </c:pt>
                <c:pt idx="78">
                  <c:v>0.9400528391967512</c:v>
                </c:pt>
                <c:pt idx="79">
                  <c:v>0.93798151298664989</c:v>
                </c:pt>
                <c:pt idx="80">
                  <c:v>0.93588441024273239</c:v>
                </c:pt>
                <c:pt idx="81">
                  <c:v>0.93376193742706293</c:v>
                </c:pt>
                <c:pt idx="82">
                  <c:v>0.93161450300093307</c:v>
                </c:pt>
                <c:pt idx="83">
                  <c:v>0.92944251725110183</c:v>
                </c:pt>
                <c:pt idx="84">
                  <c:v>0.9272463921173858</c:v>
                </c:pt>
                <c:pt idx="85">
                  <c:v>0.92502654102172222</c:v>
                </c:pt>
                <c:pt idx="86">
                  <c:v>0.92278337869880511</c:v>
                </c:pt>
                <c:pt idx="87">
                  <c:v>0.92051732102840234</c:v>
                </c:pt>
                <c:pt idx="88">
                  <c:v>0.91822878486945492</c:v>
                </c:pt>
                <c:pt idx="89">
                  <c:v>0.91591818789605262</c:v>
                </c:pt>
                <c:pt idx="90">
                  <c:v>0.91358594843538288</c:v>
                </c:pt>
                <c:pt idx="91">
                  <c:v>0.91123248530774004</c:v>
                </c:pt>
                <c:pt idx="92">
                  <c:v>0.90885821766868091</c:v>
                </c:pt>
                <c:pt idx="93">
                  <c:v>0.90646356485340873</c:v>
                </c:pt>
                <c:pt idx="94">
                  <c:v>0.90404894622346454</c:v>
                </c:pt>
                <c:pt idx="95">
                  <c:v>0.90161478101579551</c:v>
                </c:pt>
                <c:pt idx="96">
                  <c:v>0.89916148819427633</c:v>
                </c:pt>
                <c:pt idx="97">
                  <c:v>0.89668948630374623</c:v>
                </c:pt>
                <c:pt idx="98">
                  <c:v>0.89419919332662012</c:v>
                </c:pt>
                <c:pt idx="99">
                  <c:v>0.89169102654214261</c:v>
                </c:pt>
                <c:pt idx="100">
                  <c:v>0.88916540238832664</c:v>
                </c:pt>
                <c:pt idx="101">
                  <c:v>0.88662273632663791</c:v>
                </c:pt>
                <c:pt idx="102">
                  <c:v>0.88406344270946347</c:v>
                </c:pt>
                <c:pt idx="103">
                  <c:v>0.88148793465041453</c:v>
                </c:pt>
                <c:pt idx="104">
                  <c:v>0.8788966238974959</c:v>
                </c:pt>
                <c:pt idx="105">
                  <c:v>0.87628992070918454</c:v>
                </c:pt>
                <c:pt idx="106">
                  <c:v>0.87366823373344127</c:v>
                </c:pt>
                <c:pt idx="107">
                  <c:v>0.87103196988969223</c:v>
                </c:pt>
                <c:pt idx="108">
                  <c:v>0.86838153425379705</c:v>
                </c:pt>
                <c:pt idx="109">
                  <c:v>0.86571732994603012</c:v>
                </c:pt>
                <c:pt idx="110">
                  <c:v>0.86303975802209143</c:v>
                </c:pt>
                <c:pt idx="111">
                  <c:v>0.86034921736715997</c:v>
                </c:pt>
                <c:pt idx="112">
                  <c:v>0.85764610459300361</c:v>
                </c:pt>
                <c:pt idx="113">
                  <c:v>0.85493081393815029</c:v>
                </c:pt>
                <c:pt idx="114">
                  <c:v>0.85220373717112874</c:v>
                </c:pt>
                <c:pt idx="115">
                  <c:v>0.84946526349677864</c:v>
                </c:pt>
                <c:pt idx="116">
                  <c:v>0.84671577946562937</c:v>
                </c:pt>
                <c:pt idx="117">
                  <c:v>0.84395566888634366</c:v>
                </c:pt>
                <c:pt idx="118">
                  <c:v>0.84118531274122021</c:v>
                </c:pt>
                <c:pt idx="119">
                  <c:v>0.83696543651041233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EE7-4676-8091-F18D4757A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01887"/>
        <c:axId val="201514367"/>
      </c:scatterChart>
      <c:valAx>
        <c:axId val="2015018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x/L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14367"/>
        <c:crosses val="autoZero"/>
        <c:crossBetween val="midCat"/>
        <c:majorUnit val="1"/>
        <c:minorUnit val="0.1"/>
      </c:valAx>
      <c:valAx>
        <c:axId val="2015143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\-#,##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01887"/>
        <c:crosses val="autoZero"/>
        <c:crossBetween val="midCat"/>
        <c:majorUnit val="1"/>
        <c:min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99</xdr:row>
      <xdr:rowOff>28575</xdr:rowOff>
    </xdr:from>
    <xdr:to>
      <xdr:col>14</xdr:col>
      <xdr:colOff>255878</xdr:colOff>
      <xdr:row>104</xdr:row>
      <xdr:rowOff>89879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9E53B102-9325-4FBB-87B6-8151D4B4E794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115</xdr:row>
          <xdr:rowOff>95250</xdr:rowOff>
        </xdr:from>
        <xdr:to>
          <xdr:col>8</xdr:col>
          <xdr:colOff>495300</xdr:colOff>
          <xdr:row>119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116</xdr:row>
      <xdr:rowOff>0</xdr:rowOff>
    </xdr:from>
    <xdr:to>
      <xdr:col>5</xdr:col>
      <xdr:colOff>600075</xdr:colOff>
      <xdr:row>116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121</xdr:row>
      <xdr:rowOff>95250</xdr:rowOff>
    </xdr:from>
    <xdr:to>
      <xdr:col>5</xdr:col>
      <xdr:colOff>104775</xdr:colOff>
      <xdr:row>122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123</xdr:row>
      <xdr:rowOff>114300</xdr:rowOff>
    </xdr:from>
    <xdr:to>
      <xdr:col>5</xdr:col>
      <xdr:colOff>161925</xdr:colOff>
      <xdr:row>127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126</xdr:row>
      <xdr:rowOff>123825</xdr:rowOff>
    </xdr:from>
    <xdr:to>
      <xdr:col>5</xdr:col>
      <xdr:colOff>152400</xdr:colOff>
      <xdr:row>129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128</xdr:row>
      <xdr:rowOff>114300</xdr:rowOff>
    </xdr:from>
    <xdr:to>
      <xdr:col>5</xdr:col>
      <xdr:colOff>161925</xdr:colOff>
      <xdr:row>131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130</xdr:row>
      <xdr:rowOff>133350</xdr:rowOff>
    </xdr:from>
    <xdr:to>
      <xdr:col>5</xdr:col>
      <xdr:colOff>190500</xdr:colOff>
      <xdr:row>134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140</xdr:row>
      <xdr:rowOff>142875</xdr:rowOff>
    </xdr:from>
    <xdr:to>
      <xdr:col>5</xdr:col>
      <xdr:colOff>209550</xdr:colOff>
      <xdr:row>141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140</xdr:row>
      <xdr:rowOff>85725</xdr:rowOff>
    </xdr:from>
    <xdr:to>
      <xdr:col>2</xdr:col>
      <xdr:colOff>247651</xdr:colOff>
      <xdr:row>151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158</xdr:row>
      <xdr:rowOff>114300</xdr:rowOff>
    </xdr:from>
    <xdr:to>
      <xdr:col>4</xdr:col>
      <xdr:colOff>552450</xdr:colOff>
      <xdr:row>159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160</xdr:row>
      <xdr:rowOff>104775</xdr:rowOff>
    </xdr:from>
    <xdr:to>
      <xdr:col>4</xdr:col>
      <xdr:colOff>571500</xdr:colOff>
      <xdr:row>163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163</xdr:row>
      <xdr:rowOff>114299</xdr:rowOff>
    </xdr:from>
    <xdr:to>
      <xdr:col>4</xdr:col>
      <xdr:colOff>590550</xdr:colOff>
      <xdr:row>168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165</xdr:row>
      <xdr:rowOff>133349</xdr:rowOff>
    </xdr:from>
    <xdr:to>
      <xdr:col>4</xdr:col>
      <xdr:colOff>561975</xdr:colOff>
      <xdr:row>173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169</xdr:row>
      <xdr:rowOff>123826</xdr:rowOff>
    </xdr:from>
    <xdr:to>
      <xdr:col>4</xdr:col>
      <xdr:colOff>581028</xdr:colOff>
      <xdr:row>176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171</xdr:row>
      <xdr:rowOff>95254</xdr:rowOff>
    </xdr:from>
    <xdr:to>
      <xdr:col>4</xdr:col>
      <xdr:colOff>590553</xdr:colOff>
      <xdr:row>179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174</xdr:row>
      <xdr:rowOff>104777</xdr:rowOff>
    </xdr:from>
    <xdr:to>
      <xdr:col>5</xdr:col>
      <xdr:colOff>19050</xdr:colOff>
      <xdr:row>181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111</xdr:row>
          <xdr:rowOff>57150</xdr:rowOff>
        </xdr:from>
        <xdr:to>
          <xdr:col>11</xdr:col>
          <xdr:colOff>600075</xdr:colOff>
          <xdr:row>115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139</xdr:row>
          <xdr:rowOff>114300</xdr:rowOff>
        </xdr:from>
        <xdr:to>
          <xdr:col>7</xdr:col>
          <xdr:colOff>285750</xdr:colOff>
          <xdr:row>143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129</xdr:row>
          <xdr:rowOff>19050</xdr:rowOff>
        </xdr:from>
        <xdr:to>
          <xdr:col>7</xdr:col>
          <xdr:colOff>38100</xdr:colOff>
          <xdr:row>130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132</xdr:row>
          <xdr:rowOff>180975</xdr:rowOff>
        </xdr:from>
        <xdr:to>
          <xdr:col>9</xdr:col>
          <xdr:colOff>104775</xdr:colOff>
          <xdr:row>136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120</xdr:row>
          <xdr:rowOff>76200</xdr:rowOff>
        </xdr:from>
        <xdr:to>
          <xdr:col>9</xdr:col>
          <xdr:colOff>352425</xdr:colOff>
          <xdr:row>125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125</xdr:row>
          <xdr:rowOff>85725</xdr:rowOff>
        </xdr:from>
        <xdr:to>
          <xdr:col>8</xdr:col>
          <xdr:colOff>247650</xdr:colOff>
          <xdr:row>128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131</xdr:row>
          <xdr:rowOff>0</xdr:rowOff>
        </xdr:from>
        <xdr:to>
          <xdr:col>6</xdr:col>
          <xdr:colOff>552450</xdr:colOff>
          <xdr:row>132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166</xdr:row>
          <xdr:rowOff>76200</xdr:rowOff>
        </xdr:from>
        <xdr:to>
          <xdr:col>9</xdr:col>
          <xdr:colOff>219075</xdr:colOff>
          <xdr:row>171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171</xdr:row>
          <xdr:rowOff>123825</xdr:rowOff>
        </xdr:from>
        <xdr:to>
          <xdr:col>8</xdr:col>
          <xdr:colOff>66675</xdr:colOff>
          <xdr:row>174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156</xdr:row>
          <xdr:rowOff>171450</xdr:rowOff>
        </xdr:from>
        <xdr:to>
          <xdr:col>9</xdr:col>
          <xdr:colOff>171450</xdr:colOff>
          <xdr:row>161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161</xdr:row>
          <xdr:rowOff>161925</xdr:rowOff>
        </xdr:from>
        <xdr:to>
          <xdr:col>8</xdr:col>
          <xdr:colOff>180975</xdr:colOff>
          <xdr:row>165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176</xdr:row>
          <xdr:rowOff>76200</xdr:rowOff>
        </xdr:from>
        <xdr:to>
          <xdr:col>6</xdr:col>
          <xdr:colOff>485775</xdr:colOff>
          <xdr:row>177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178</xdr:row>
          <xdr:rowOff>66675</xdr:rowOff>
        </xdr:from>
        <xdr:to>
          <xdr:col>6</xdr:col>
          <xdr:colOff>381000</xdr:colOff>
          <xdr:row>179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180</xdr:row>
          <xdr:rowOff>38100</xdr:rowOff>
        </xdr:from>
        <xdr:to>
          <xdr:col>7</xdr:col>
          <xdr:colOff>66675</xdr:colOff>
          <xdr:row>183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132</xdr:row>
      <xdr:rowOff>171450</xdr:rowOff>
    </xdr:from>
    <xdr:to>
      <xdr:col>6</xdr:col>
      <xdr:colOff>472234</xdr:colOff>
      <xdr:row>136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184</xdr:row>
      <xdr:rowOff>76200</xdr:rowOff>
    </xdr:from>
    <xdr:to>
      <xdr:col>6</xdr:col>
      <xdr:colOff>300784</xdr:colOff>
      <xdr:row>187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161830</xdr:rowOff>
    </xdr:from>
    <xdr:to>
      <xdr:col>5</xdr:col>
      <xdr:colOff>170954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176</xdr:row>
      <xdr:rowOff>114302</xdr:rowOff>
    </xdr:from>
    <xdr:to>
      <xdr:col>5</xdr:col>
      <xdr:colOff>19050</xdr:colOff>
      <xdr:row>186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100</xdr:row>
      <xdr:rowOff>19050</xdr:rowOff>
    </xdr:from>
    <xdr:to>
      <xdr:col>4</xdr:col>
      <xdr:colOff>514350</xdr:colOff>
      <xdr:row>100</xdr:row>
      <xdr:rowOff>123825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/>
      </xdr:nvCxnSpPr>
      <xdr:spPr>
        <a:xfrm flipV="1">
          <a:off x="2571750" y="9191625"/>
          <a:ext cx="14192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113</xdr:row>
      <xdr:rowOff>47625</xdr:rowOff>
    </xdr:from>
    <xdr:to>
      <xdr:col>4</xdr:col>
      <xdr:colOff>447675</xdr:colOff>
      <xdr:row>114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52</xdr:row>
          <xdr:rowOff>85725</xdr:rowOff>
        </xdr:from>
        <xdr:to>
          <xdr:col>4</xdr:col>
          <xdr:colOff>219075</xdr:colOff>
          <xdr:row>56</xdr:row>
          <xdr:rowOff>9525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52</xdr:row>
          <xdr:rowOff>76200</xdr:rowOff>
        </xdr:from>
        <xdr:to>
          <xdr:col>11</xdr:col>
          <xdr:colOff>581025</xdr:colOff>
          <xdr:row>56</xdr:row>
          <xdr:rowOff>57150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200025</xdr:colOff>
      <xdr:row>58</xdr:row>
      <xdr:rowOff>95250</xdr:rowOff>
    </xdr:from>
    <xdr:to>
      <xdr:col>11</xdr:col>
      <xdr:colOff>17499</xdr:colOff>
      <xdr:row>67</xdr:row>
      <xdr:rowOff>128921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40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1933575" y="11172825"/>
              <a:ext cx="5827749" cy="174817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US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𝑑</m:t>
                        </m:r>
                      </m:sub>
                    </m:sSub>
                    <m:r>
                      <a:rPr lang="en-US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𝐴</m:t>
                    </m:r>
                    <m:d>
                      <m:dPr>
                        <m:begChr m:val="["/>
                        <m:endChr m:val="]"/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𝑜𝑟𝑖𝑓𝑖𝑐𝑒</m:t>
                            </m:r>
                          </m:sub>
                        </m:sSub>
                        <m:sSup>
                          <m:sSup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𝑜𝑟𝑖𝑓𝑖𝑐𝑒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  <m:sup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type m:val="lin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+1</m:t>
                                    </m:r>
                                  </m:e>
                                </m:d>
                              </m:num>
                              <m:den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  <m:d>
                                      <m:d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e>
                                    </m:d>
                                  </m:e>
                                </m:d>
                              </m:den>
                            </m:f>
                          </m:sup>
                        </m:sSup>
                      </m:e>
                    </m:d>
                  </m:oMath>
                </m:oMathPara>
              </a14:m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𝐴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sub>
                    </m:sSub>
                    <m:d>
                      <m:dPr>
                        <m:begChr m:val="["/>
                        <m:endChr m:val="]"/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  <m:sSup>
                          <m:sSup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  <m:sup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type m:val="lin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+1</m:t>
                                    </m:r>
                                  </m:e>
                                </m:d>
                              </m:num>
                              <m:den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  <m:d>
                                      <m:d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e>
                                    </m:d>
                                  </m:e>
                                </m:d>
                              </m:den>
                            </m:f>
                          </m:sup>
                        </m:sSup>
                      </m:e>
                    </m:d>
                  </m:oMath>
                </m:oMathPara>
              </a14:m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Choice>
      <mc:Fallback xmlns="">
        <xdr:sp macro="" textlink="">
          <xdr:nvSpPr>
            <xdr:cNvPr id="6" name="Object 40">
              <a:extLst>
                <a:ext uri="{FF2B5EF4-FFF2-40B4-BE49-F238E27FC236}">
                  <a16:creationId xmlns:a16="http://schemas.microsoft.com/office/drawing/2014/main" id="{2169C68C-3179-39B6-A743-21ADCE70EE6A}"/>
                </a:ext>
              </a:extLst>
            </xdr:cNvPr>
            <xdr:cNvSpPr txBox="1"/>
          </xdr:nvSpPr>
          <xdr:spPr>
            <a:xfrm>
              <a:off x="1933575" y="11172825"/>
              <a:ext cx="5827749" cy="174817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𝐶_𝑑 𝐴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[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𝑀_𝑜𝑟𝑖𝑓𝑖𝑐𝑒 (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𝑀_𝑜𝑟𝑖𝑓𝑖𝑐𝑒〗^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 ]</a:t>
              </a:r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𝐴_2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[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 (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 ]</a:t>
              </a:r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2</xdr:col>
      <xdr:colOff>142875</xdr:colOff>
      <xdr:row>71</xdr:row>
      <xdr:rowOff>47625</xdr:rowOff>
    </xdr:from>
    <xdr:to>
      <xdr:col>8</xdr:col>
      <xdr:colOff>167551</xdr:colOff>
      <xdr:row>79</xdr:row>
      <xdr:rowOff>165100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1876425" y="13601700"/>
              <a:ext cx="4206151" cy="1641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𝑑</m:t>
                            </m:r>
                          </m:sub>
                        </m:s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𝐴</m:t>
                        </m:r>
                      </m:num>
                      <m:den>
                        <m:sSub>
                          <m:sSubPr>
                            <m:ctrlPr>
                              <a:rPr lang="en-US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𝐴</m:t>
                            </m:r>
                          </m:e>
                          <m:sub>
                            <m:r>
                              <a:rPr lang="en-US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−</m:t>
                        </m:r>
                        <m:f>
                          <m:fPr>
                            <m:type m:val="lin"/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𝑀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sub>
                    </m:sSub>
                    <m:sSup>
                      <m:sSup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p>
                              <m:sSup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2000" b="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2000" b="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d>
                      </m:e>
                      <m:sup>
                        <m: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−</m:t>
                        </m:r>
                        <m:f>
                          <m:fPr>
                            <m:type m:val="lin"/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Choice>
      <mc:Fallback xmlns="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ACBDA987-672B-44D6-97AC-21A609FB17AF}"/>
                </a:ext>
              </a:extLst>
            </xdr:cNvPr>
            <xdr:cNvSpPr txBox="1"/>
          </xdr:nvSpPr>
          <xdr:spPr>
            <a:xfrm>
              <a:off x="1876425" y="13601700"/>
              <a:ext cx="4206151" cy="1641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𝐶_𝑑 𝐴</a:t>
              </a:r>
              <a:r>
                <a:rPr lang="en-US" sz="20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</a:t>
              </a:r>
              <a:r>
                <a:rPr lang="en-US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𝐴_2 </a:t>
              </a:r>
              <a:r>
                <a:rPr lang="en-US" sz="20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(1+(𝛾−1)/2)^(−(𝛾+1)∕[2(𝛾−1)] )</a:t>
              </a:r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</a:t>
              </a:r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2</xdr:col>
      <xdr:colOff>209550</xdr:colOff>
      <xdr:row>85</xdr:row>
      <xdr:rowOff>104775</xdr:rowOff>
    </xdr:from>
    <xdr:to>
      <xdr:col>4</xdr:col>
      <xdr:colOff>475999</xdr:colOff>
      <xdr:row>92</xdr:row>
      <xdr:rowOff>161751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43100" y="16344900"/>
          <a:ext cx="2009524" cy="13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102</xdr:row>
      <xdr:rowOff>133350</xdr:rowOff>
    </xdr:from>
    <xdr:to>
      <xdr:col>4</xdr:col>
      <xdr:colOff>342649</xdr:colOff>
      <xdr:row>109</xdr:row>
      <xdr:rowOff>190326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0" y="19611975"/>
          <a:ext cx="2009524" cy="1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0</xdr:colOff>
      <xdr:row>3</xdr:row>
      <xdr:rowOff>0</xdr:rowOff>
    </xdr:from>
    <xdr:to>
      <xdr:col>40</xdr:col>
      <xdr:colOff>171450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DEC5BF-78AE-4E35-8843-209AF75474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5.bin"/><Relationship Id="rId18" Type="http://schemas.openxmlformats.org/officeDocument/2006/relationships/image" Target="../media/image7.emf"/><Relationship Id="rId26" Type="http://schemas.openxmlformats.org/officeDocument/2006/relationships/image" Target="../media/image10.emf"/><Relationship Id="rId3" Type="http://schemas.openxmlformats.org/officeDocument/2006/relationships/drawing" Target="../drawings/drawing1.xml"/><Relationship Id="rId21" Type="http://schemas.openxmlformats.org/officeDocument/2006/relationships/oleObject" Target="../embeddings/oleObject9.bin"/><Relationship Id="rId7" Type="http://schemas.openxmlformats.org/officeDocument/2006/relationships/oleObject" Target="../embeddings/oleObject2.bin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7.bin"/><Relationship Id="rId25" Type="http://schemas.openxmlformats.org/officeDocument/2006/relationships/oleObject" Target="../embeddings/oleObject12.bin"/><Relationship Id="rId2" Type="http://schemas.openxmlformats.org/officeDocument/2006/relationships/customProperty" Target="../customProperty1.bin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29" Type="http://schemas.openxmlformats.org/officeDocument/2006/relationships/oleObject" Target="../embeddings/oleObject15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11" Type="http://schemas.openxmlformats.org/officeDocument/2006/relationships/oleObject" Target="../embeddings/oleObject4.bin"/><Relationship Id="rId24" Type="http://schemas.openxmlformats.org/officeDocument/2006/relationships/image" Target="../media/image9.emf"/><Relationship Id="rId5" Type="http://schemas.openxmlformats.org/officeDocument/2006/relationships/oleObject" Target="../embeddings/oleObject1.bin"/><Relationship Id="rId15" Type="http://schemas.openxmlformats.org/officeDocument/2006/relationships/oleObject" Target="../embeddings/oleObject6.bin"/><Relationship Id="rId23" Type="http://schemas.openxmlformats.org/officeDocument/2006/relationships/oleObject" Target="../embeddings/oleObject11.bin"/><Relationship Id="rId28" Type="http://schemas.openxmlformats.org/officeDocument/2006/relationships/oleObject" Target="../embeddings/oleObject14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8.bin"/><Relationship Id="rId31" Type="http://schemas.openxmlformats.org/officeDocument/2006/relationships/oleObject" Target="../embeddings/oleObject17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Relationship Id="rId14" Type="http://schemas.openxmlformats.org/officeDocument/2006/relationships/image" Target="../media/image5.emf"/><Relationship Id="rId22" Type="http://schemas.openxmlformats.org/officeDocument/2006/relationships/oleObject" Target="../embeddings/oleObject10.bin"/><Relationship Id="rId27" Type="http://schemas.openxmlformats.org/officeDocument/2006/relationships/oleObject" Target="../embeddings/oleObject13.bin"/><Relationship Id="rId30" Type="http://schemas.openxmlformats.org/officeDocument/2006/relationships/oleObject" Target="../embeddings/oleObject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9"/>
  <sheetViews>
    <sheetView tabSelected="1" workbookViewId="0">
      <selection activeCell="I4" sqref="I4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84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63</v>
      </c>
      <c r="G6" s="4"/>
    </row>
    <row r="7" spans="2:7" x14ac:dyDescent="0.25">
      <c r="B7" s="24" t="s">
        <v>59</v>
      </c>
      <c r="C7">
        <v>1</v>
      </c>
      <c r="D7" t="s">
        <v>81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4" t="s">
        <v>30</v>
      </c>
      <c r="C9">
        <v>273.14999999999998</v>
      </c>
      <c r="D9" t="s">
        <v>82</v>
      </c>
      <c r="E9" t="s">
        <v>60</v>
      </c>
      <c r="G9" s="4"/>
    </row>
    <row r="10" spans="2:7" x14ac:dyDescent="0.25">
      <c r="B10" s="3" t="s">
        <v>61</v>
      </c>
      <c r="C10">
        <v>778.17</v>
      </c>
      <c r="D10" t="s">
        <v>31</v>
      </c>
      <c r="E10" t="s">
        <v>62</v>
      </c>
      <c r="G10" s="4"/>
    </row>
    <row r="11" spans="2:7" x14ac:dyDescent="0.25">
      <c r="B11" s="3" t="s">
        <v>72</v>
      </c>
      <c r="C11">
        <v>0.245</v>
      </c>
      <c r="D11" t="s">
        <v>73</v>
      </c>
      <c r="E11" t="s">
        <v>74</v>
      </c>
      <c r="G11" s="4"/>
    </row>
    <row r="12" spans="2:7" x14ac:dyDescent="0.25">
      <c r="B12" s="24" t="s">
        <v>72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2" t="s">
        <v>83</v>
      </c>
      <c r="C14" s="20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4" t="s">
        <v>33</v>
      </c>
      <c r="C16" s="11">
        <f>L/3.28084</f>
        <v>30.47999902464003</v>
      </c>
      <c r="D16" t="s">
        <v>58</v>
      </c>
      <c r="G16" s="4"/>
    </row>
    <row r="17" spans="2:11" x14ac:dyDescent="0.25">
      <c r="B17" s="3" t="s">
        <v>12</v>
      </c>
      <c r="C17">
        <v>3</v>
      </c>
      <c r="D17" t="s">
        <v>13</v>
      </c>
      <c r="E17" t="s">
        <v>14</v>
      </c>
      <c r="G17" s="4"/>
      <c r="K17" s="12"/>
    </row>
    <row r="18" spans="2:11" x14ac:dyDescent="0.25">
      <c r="B18" s="24" t="s">
        <v>12</v>
      </c>
      <c r="C18">
        <f>C17*2.54</f>
        <v>7.62</v>
      </c>
      <c r="D18" t="s">
        <v>64</v>
      </c>
      <c r="G18" s="4"/>
    </row>
    <row r="19" spans="2:11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11" x14ac:dyDescent="0.25">
      <c r="B20" s="24" t="s">
        <v>12</v>
      </c>
      <c r="C20" s="9">
        <f>D/3.28</f>
        <v>7.621951219512195E-2</v>
      </c>
      <c r="D20" t="s">
        <v>58</v>
      </c>
      <c r="G20" s="4"/>
    </row>
    <row r="21" spans="2:11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11" x14ac:dyDescent="0.25">
      <c r="B22" s="24" t="s">
        <v>16</v>
      </c>
      <c r="C22" s="10">
        <f>PI()/4*C18^2</f>
        <v>45.603673118774793</v>
      </c>
      <c r="D22" t="s">
        <v>65</v>
      </c>
      <c r="G22" s="4"/>
    </row>
    <row r="23" spans="2:11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11" x14ac:dyDescent="0.25">
      <c r="B24" s="24" t="s">
        <v>16</v>
      </c>
      <c r="C24" s="5">
        <f>PI()/4*C20^2</f>
        <v>4.5627031168519964E-3</v>
      </c>
      <c r="D24" t="s">
        <v>66</v>
      </c>
      <c r="G24" s="4"/>
    </row>
    <row r="25" spans="2:11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90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" t="s">
        <v>38</v>
      </c>
      <c r="C37" s="15">
        <v>400</v>
      </c>
      <c r="D37" t="s">
        <v>1</v>
      </c>
      <c r="P37" s="4"/>
    </row>
    <row r="38" spans="2:16" x14ac:dyDescent="0.25">
      <c r="B38" s="24" t="s">
        <v>38</v>
      </c>
      <c r="C38" s="21">
        <f>Po_1*6.89476</f>
        <v>2757.904</v>
      </c>
      <c r="D38" t="s">
        <v>69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4" t="s">
        <v>39</v>
      </c>
      <c r="C40" s="21">
        <f>(C39+459.67)/1.8-273.15</f>
        <v>93.333333333333371</v>
      </c>
      <c r="D40" t="s">
        <v>85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79</v>
      </c>
      <c r="P42" s="4"/>
    </row>
    <row r="43" spans="2:16" x14ac:dyDescent="0.25">
      <c r="B43" s="3"/>
      <c r="P43" s="4"/>
    </row>
    <row r="44" spans="2:16" x14ac:dyDescent="0.25">
      <c r="B44" s="22" t="s">
        <v>91</v>
      </c>
      <c r="P44" s="4"/>
    </row>
    <row r="45" spans="2:16" x14ac:dyDescent="0.25">
      <c r="B45" s="3" t="s">
        <v>96</v>
      </c>
      <c r="C45" s="29">
        <v>2</v>
      </c>
      <c r="D45" t="s">
        <v>18</v>
      </c>
      <c r="E45" t="s">
        <v>99</v>
      </c>
      <c r="P45" s="4"/>
    </row>
    <row r="46" spans="2:16" x14ac:dyDescent="0.25">
      <c r="B46" s="24" t="s">
        <v>96</v>
      </c>
      <c r="C46" s="21">
        <f>C45*2.54^2</f>
        <v>12.9032</v>
      </c>
      <c r="D46" t="s">
        <v>65</v>
      </c>
      <c r="P46" s="4"/>
    </row>
    <row r="47" spans="2:16" x14ac:dyDescent="0.25">
      <c r="B47" s="3" t="s">
        <v>96</v>
      </c>
      <c r="C47" s="9">
        <f>C45/144</f>
        <v>1.3888888888888888E-2</v>
      </c>
      <c r="D47" t="s">
        <v>19</v>
      </c>
      <c r="E47" t="s">
        <v>99</v>
      </c>
      <c r="P47" s="4"/>
    </row>
    <row r="48" spans="2:16" x14ac:dyDescent="0.25">
      <c r="B48" s="24" t="s">
        <v>96</v>
      </c>
      <c r="C48" s="28">
        <f>C46/10^4</f>
        <v>1.29032E-3</v>
      </c>
      <c r="D48" t="s">
        <v>66</v>
      </c>
      <c r="P48" s="4"/>
    </row>
    <row r="49" spans="2:16" x14ac:dyDescent="0.25">
      <c r="B49" s="27"/>
      <c r="C49" s="28"/>
      <c r="P49" s="4"/>
    </row>
    <row r="50" spans="2:16" x14ac:dyDescent="0.25">
      <c r="B50" s="27"/>
      <c r="C50" s="28"/>
      <c r="P50" s="4"/>
    </row>
    <row r="51" spans="2:16" x14ac:dyDescent="0.25">
      <c r="B51" s="27" t="s">
        <v>97</v>
      </c>
      <c r="C51" s="28"/>
      <c r="P51" s="4"/>
    </row>
    <row r="52" spans="2:16" x14ac:dyDescent="0.25">
      <c r="B52" s="27" t="s">
        <v>98</v>
      </c>
      <c r="C52" s="28"/>
      <c r="P52" s="4"/>
    </row>
    <row r="53" spans="2:16" x14ac:dyDescent="0.25">
      <c r="B53" s="27"/>
      <c r="C53" s="28"/>
      <c r="P53" s="4"/>
    </row>
    <row r="54" spans="2:16" x14ac:dyDescent="0.25">
      <c r="B54" s="27"/>
      <c r="C54" s="28"/>
      <c r="P54" s="4"/>
    </row>
    <row r="55" spans="2:16" x14ac:dyDescent="0.25">
      <c r="B55" s="27"/>
      <c r="C55" s="28"/>
      <c r="P55" s="4"/>
    </row>
    <row r="56" spans="2:16" x14ac:dyDescent="0.25">
      <c r="B56" s="27"/>
      <c r="C56" s="28"/>
      <c r="P56" s="4"/>
    </row>
    <row r="57" spans="2:16" x14ac:dyDescent="0.25">
      <c r="B57" s="27"/>
      <c r="C57" s="28"/>
      <c r="P57" s="4"/>
    </row>
    <row r="58" spans="2:16" x14ac:dyDescent="0.25">
      <c r="B58" s="27" t="s">
        <v>100</v>
      </c>
      <c r="C58" s="28"/>
      <c r="P58" s="4"/>
    </row>
    <row r="59" spans="2:16" x14ac:dyDescent="0.25">
      <c r="B59" s="27"/>
      <c r="C59" s="28"/>
      <c r="P59" s="4"/>
    </row>
    <row r="60" spans="2:16" x14ac:dyDescent="0.25">
      <c r="B60" s="27"/>
      <c r="C60" s="28"/>
      <c r="P60" s="4"/>
    </row>
    <row r="61" spans="2:16" x14ac:dyDescent="0.25">
      <c r="B61" s="27"/>
      <c r="C61" s="28"/>
      <c r="P61" s="4"/>
    </row>
    <row r="62" spans="2:16" x14ac:dyDescent="0.25">
      <c r="B62" s="27"/>
      <c r="C62" s="28"/>
      <c r="P62" s="4"/>
    </row>
    <row r="63" spans="2:16" x14ac:dyDescent="0.25">
      <c r="B63" s="27"/>
      <c r="C63" s="28"/>
      <c r="P63" s="4"/>
    </row>
    <row r="64" spans="2:16" x14ac:dyDescent="0.25">
      <c r="B64" s="27"/>
      <c r="C64" s="28"/>
      <c r="P64" s="4"/>
    </row>
    <row r="65" spans="2:16" x14ac:dyDescent="0.25">
      <c r="B65" s="27"/>
      <c r="C65" s="28"/>
      <c r="P65" s="4"/>
    </row>
    <row r="66" spans="2:16" x14ac:dyDescent="0.25">
      <c r="B66" s="27"/>
      <c r="P66" s="4"/>
    </row>
    <row r="67" spans="2:16" x14ac:dyDescent="0.25">
      <c r="B67" s="27"/>
      <c r="P67" s="4"/>
    </row>
    <row r="68" spans="2:16" x14ac:dyDescent="0.25">
      <c r="B68" s="27"/>
      <c r="P68" s="4"/>
    </row>
    <row r="69" spans="2:16" x14ac:dyDescent="0.25">
      <c r="B69" s="27" t="s">
        <v>101</v>
      </c>
      <c r="P69" s="4"/>
    </row>
    <row r="70" spans="2:16" ht="15.75" thickBot="1" x14ac:dyDescent="0.3">
      <c r="B70" s="27"/>
      <c r="P70" s="4"/>
    </row>
    <row r="71" spans="2:16" ht="15.75" thickBot="1" x14ac:dyDescent="0.3">
      <c r="B71" s="27"/>
      <c r="C71" s="30" t="s">
        <v>102</v>
      </c>
      <c r="D71" s="31"/>
      <c r="P71" s="4"/>
    </row>
    <row r="72" spans="2:16" x14ac:dyDescent="0.25">
      <c r="B72" s="27"/>
      <c r="P72" s="4"/>
    </row>
    <row r="73" spans="2:16" x14ac:dyDescent="0.25">
      <c r="B73" s="27"/>
      <c r="P73" s="4"/>
    </row>
    <row r="74" spans="2:16" x14ac:dyDescent="0.25">
      <c r="B74" s="27"/>
      <c r="P74" s="4"/>
    </row>
    <row r="75" spans="2:16" x14ac:dyDescent="0.25">
      <c r="B75" s="27"/>
      <c r="P75" s="4"/>
    </row>
    <row r="76" spans="2:16" x14ac:dyDescent="0.25">
      <c r="B76" s="27"/>
      <c r="P76" s="4"/>
    </row>
    <row r="77" spans="2:16" x14ac:dyDescent="0.25">
      <c r="B77" s="27"/>
      <c r="P77" s="4"/>
    </row>
    <row r="78" spans="2:16" x14ac:dyDescent="0.25">
      <c r="B78" s="27"/>
      <c r="P78" s="4"/>
    </row>
    <row r="79" spans="2:16" x14ac:dyDescent="0.25">
      <c r="B79" s="27"/>
      <c r="P79" s="4"/>
    </row>
    <row r="80" spans="2:16" x14ac:dyDescent="0.25">
      <c r="B80" s="27"/>
      <c r="P80" s="4"/>
    </row>
    <row r="81" spans="2:16" x14ac:dyDescent="0.25">
      <c r="B81" s="27"/>
      <c r="P81" s="4"/>
    </row>
    <row r="82" spans="2:16" x14ac:dyDescent="0.25">
      <c r="B82" s="27" t="s">
        <v>103</v>
      </c>
      <c r="C82">
        <f>CdA/A*(1+(Gam-1)/2)^(-(Gam+1)/2/(Gam-1))</f>
        <v>0.16373965338672358</v>
      </c>
      <c r="P82" s="4"/>
    </row>
    <row r="83" spans="2:16" x14ac:dyDescent="0.25">
      <c r="B83" s="3" t="s">
        <v>37</v>
      </c>
      <c r="C83" s="32">
        <v>0.16648136922389201</v>
      </c>
      <c r="D83" s="15" t="s">
        <v>75</v>
      </c>
      <c r="E83" s="15"/>
      <c r="P83" s="4"/>
    </row>
    <row r="84" spans="2:16" x14ac:dyDescent="0.25">
      <c r="B84" s="27" t="s">
        <v>104</v>
      </c>
      <c r="C84">
        <f>M_2*(1+M_2^2*(Gam-1)/2)^(-(Gam+1)/2/(Gam-1))</f>
        <v>0.16374325780510626</v>
      </c>
      <c r="P84" s="4"/>
    </row>
    <row r="85" spans="2:16" x14ac:dyDescent="0.25">
      <c r="B85" s="26" t="s">
        <v>80</v>
      </c>
      <c r="C85" s="10">
        <f>C82-C84</f>
        <v>-3.6044183826799969E-6</v>
      </c>
      <c r="D85" s="25" t="s">
        <v>76</v>
      </c>
      <c r="P85" s="4"/>
    </row>
    <row r="86" spans="2:16" x14ac:dyDescent="0.25">
      <c r="B86" s="27"/>
      <c r="P86" s="4"/>
    </row>
    <row r="87" spans="2:16" x14ac:dyDescent="0.25">
      <c r="B87" s="27"/>
      <c r="P87" s="4"/>
    </row>
    <row r="88" spans="2:16" x14ac:dyDescent="0.25">
      <c r="B88" s="27"/>
      <c r="P88" s="4"/>
    </row>
    <row r="89" spans="2:16" x14ac:dyDescent="0.25">
      <c r="B89" s="27"/>
      <c r="P89" s="4"/>
    </row>
    <row r="90" spans="2:16" x14ac:dyDescent="0.25">
      <c r="B90" s="27"/>
      <c r="P90" s="4"/>
    </row>
    <row r="91" spans="2:16" x14ac:dyDescent="0.25">
      <c r="B91" s="27"/>
      <c r="P91" s="4"/>
    </row>
    <row r="92" spans="2:16" x14ac:dyDescent="0.25">
      <c r="B92" s="27"/>
      <c r="P92" s="4"/>
    </row>
    <row r="93" spans="2:16" x14ac:dyDescent="0.25">
      <c r="B93" s="27"/>
      <c r="P93" s="4"/>
    </row>
    <row r="94" spans="2:16" x14ac:dyDescent="0.25">
      <c r="B94" s="27"/>
      <c r="P94" s="4"/>
    </row>
    <row r="95" spans="2:16" x14ac:dyDescent="0.25">
      <c r="B95" s="27"/>
      <c r="P95" s="4"/>
    </row>
    <row r="96" spans="2:16" x14ac:dyDescent="0.25">
      <c r="B96" s="27" t="s">
        <v>105</v>
      </c>
      <c r="P96" s="4"/>
    </row>
    <row r="97" spans="2:16" x14ac:dyDescent="0.25">
      <c r="B97" s="27"/>
      <c r="P97" s="4"/>
    </row>
    <row r="98" spans="2:16" x14ac:dyDescent="0.25">
      <c r="B98" s="3" t="s">
        <v>36</v>
      </c>
      <c r="C98" s="18">
        <f>f*L/D</f>
        <v>6.8000000000000007</v>
      </c>
      <c r="D98" t="s">
        <v>92</v>
      </c>
      <c r="P98" s="4"/>
    </row>
    <row r="99" spans="2:16" x14ac:dyDescent="0.25">
      <c r="B99" s="3" t="s">
        <v>40</v>
      </c>
      <c r="C99" s="14">
        <v>0.14762323347790815</v>
      </c>
      <c r="D99" s="15" t="s">
        <v>75</v>
      </c>
      <c r="E99" s="15"/>
      <c r="P99" s="4"/>
    </row>
    <row r="100" spans="2:16" x14ac:dyDescent="0.25">
      <c r="B100" s="3"/>
      <c r="P100" s="4"/>
    </row>
    <row r="101" spans="2:16" x14ac:dyDescent="0.25">
      <c r="B101" s="3" t="s">
        <v>36</v>
      </c>
      <c r="C101" s="18">
        <f>1/Gam*(1/M_1^2-1/M_2^2)+(Gam+1)/2/Gam*LN((M_1^2/M_2^2)*(1+M_2^2*(Gam-1)/2)/(1+M_1^2*(Gam-1)/2))</f>
        <v>6.7998571830029491</v>
      </c>
      <c r="P101" s="4"/>
    </row>
    <row r="102" spans="2:16" x14ac:dyDescent="0.25">
      <c r="B102" s="26" t="s">
        <v>80</v>
      </c>
      <c r="C102" s="10">
        <f>C98-C101</f>
        <v>1.4281699705165352E-4</v>
      </c>
      <c r="D102" s="25" t="s">
        <v>76</v>
      </c>
      <c r="P102" s="4"/>
    </row>
    <row r="103" spans="2:16" x14ac:dyDescent="0.25">
      <c r="B103" s="3"/>
      <c r="C103" s="10"/>
      <c r="P103" s="4"/>
    </row>
    <row r="104" spans="2:16" x14ac:dyDescent="0.25">
      <c r="B104" s="3"/>
      <c r="P104" s="4"/>
    </row>
    <row r="105" spans="2:16" x14ac:dyDescent="0.25">
      <c r="B105" s="3"/>
      <c r="P105" s="4"/>
    </row>
    <row r="106" spans="2:16" x14ac:dyDescent="0.25">
      <c r="B106" s="3"/>
      <c r="P106" s="4"/>
    </row>
    <row r="107" spans="2:16" x14ac:dyDescent="0.25">
      <c r="B107" s="3"/>
      <c r="P107" s="4"/>
    </row>
    <row r="108" spans="2:16" x14ac:dyDescent="0.25">
      <c r="B108" s="3"/>
      <c r="P108" s="4"/>
    </row>
    <row r="109" spans="2:16" x14ac:dyDescent="0.25">
      <c r="B109" s="3"/>
      <c r="P109" s="4"/>
    </row>
    <row r="110" spans="2:16" x14ac:dyDescent="0.25">
      <c r="B110" s="3"/>
      <c r="P110" s="4"/>
    </row>
    <row r="111" spans="2:16" x14ac:dyDescent="0.25">
      <c r="B111" s="3"/>
      <c r="P111" s="4"/>
    </row>
    <row r="112" spans="2:16" x14ac:dyDescent="0.25">
      <c r="B112" s="3"/>
      <c r="P112" s="4"/>
    </row>
    <row r="113" spans="2:16" x14ac:dyDescent="0.25">
      <c r="B113" s="3"/>
      <c r="P113" s="4"/>
    </row>
    <row r="114" spans="2:16" x14ac:dyDescent="0.25">
      <c r="B114" s="3"/>
      <c r="P114" s="4"/>
    </row>
    <row r="115" spans="2:16" x14ac:dyDescent="0.25">
      <c r="B115" s="3" t="s">
        <v>20</v>
      </c>
      <c r="C115" s="5">
        <f>(Gam/Z/Rg)^0.5*M_1*(1+M_1^2*(Gam-1)/2)^(-(Gam+1)/2/(Gam-1))</f>
        <v>2.3603314882924411E-2</v>
      </c>
      <c r="D115" s="25" t="s">
        <v>95</v>
      </c>
      <c r="P115" s="4"/>
    </row>
    <row r="116" spans="2:16" x14ac:dyDescent="0.25">
      <c r="B116" s="3"/>
      <c r="P116" s="4"/>
    </row>
    <row r="117" spans="2:16" x14ac:dyDescent="0.25">
      <c r="B117" s="27" t="s">
        <v>9</v>
      </c>
      <c r="C117" s="11">
        <f>(Po_1/To_1^0.5)*gc^0.5*144*A*C115</f>
        <v>14.738542702209223</v>
      </c>
      <c r="D117" t="s">
        <v>11</v>
      </c>
      <c r="E117" t="s">
        <v>10</v>
      </c>
      <c r="I117" s="11"/>
      <c r="P117" s="4"/>
    </row>
    <row r="118" spans="2:16" x14ac:dyDescent="0.25">
      <c r="B118" s="24" t="s">
        <v>9</v>
      </c>
      <c r="C118" s="11">
        <f>mdot*0.45359</f>
        <v>6.6852555842950814</v>
      </c>
      <c r="D118" t="s">
        <v>71</v>
      </c>
      <c r="I118" s="11"/>
      <c r="P118" s="4"/>
    </row>
    <row r="119" spans="2:16" x14ac:dyDescent="0.25">
      <c r="B119" s="26"/>
      <c r="C119" s="5"/>
      <c r="D119" s="25"/>
      <c r="P119" s="4"/>
    </row>
    <row r="120" spans="2:16" x14ac:dyDescent="0.25">
      <c r="B120" s="26"/>
      <c r="C120" s="5"/>
      <c r="D120" s="25"/>
      <c r="P120" s="4"/>
    </row>
    <row r="121" spans="2:16" x14ac:dyDescent="0.25">
      <c r="B121" s="3"/>
      <c r="P121" s="4"/>
    </row>
    <row r="122" spans="2:16" x14ac:dyDescent="0.25">
      <c r="B122" s="3" t="s">
        <v>41</v>
      </c>
      <c r="C122" s="10">
        <f>Po_1/(1+M_1^2*(Gam-1)/2)^(Gam/(Gam-1))</f>
        <v>393.95743156932838</v>
      </c>
      <c r="D122" t="s">
        <v>1</v>
      </c>
      <c r="P122" s="4"/>
    </row>
    <row r="123" spans="2:16" x14ac:dyDescent="0.25">
      <c r="B123" s="24" t="str">
        <f>B122</f>
        <v>P1</v>
      </c>
      <c r="C123" s="21">
        <f>P_1*6.89476</f>
        <v>2716.2419408869423</v>
      </c>
      <c r="D123" t="s">
        <v>69</v>
      </c>
      <c r="P123" s="4"/>
    </row>
    <row r="124" spans="2:16" x14ac:dyDescent="0.25">
      <c r="B124" s="3" t="s">
        <v>42</v>
      </c>
      <c r="C124" s="10">
        <f>To_1/(1+M_1^2*(Gam-1)/2)</f>
        <v>656.80728978724233</v>
      </c>
      <c r="D124" t="s">
        <v>21</v>
      </c>
      <c r="P124" s="4"/>
    </row>
    <row r="125" spans="2:16" x14ac:dyDescent="0.25">
      <c r="B125" s="3" t="s">
        <v>42</v>
      </c>
      <c r="C125" s="10">
        <f>C124-C8</f>
        <v>197.13728978724231</v>
      </c>
      <c r="D125" t="s">
        <v>2</v>
      </c>
      <c r="P125" s="4"/>
    </row>
    <row r="126" spans="2:16" x14ac:dyDescent="0.25">
      <c r="B126" s="24" t="str">
        <f>B125</f>
        <v>T1</v>
      </c>
      <c r="C126" s="21">
        <f>(C125+459.67)/1.8-273.15</f>
        <v>91.742938770690216</v>
      </c>
      <c r="D126" t="s">
        <v>85</v>
      </c>
      <c r="P126" s="4"/>
    </row>
    <row r="127" spans="2:16" x14ac:dyDescent="0.25">
      <c r="B127" s="3" t="s">
        <v>43</v>
      </c>
      <c r="C127" s="10">
        <f>P_1*144/Z/Rg/T_1</f>
        <v>1.6188812037953075</v>
      </c>
      <c r="D127" t="s">
        <v>26</v>
      </c>
      <c r="P127" s="4"/>
    </row>
    <row r="128" spans="2:16" x14ac:dyDescent="0.25">
      <c r="B128" s="24" t="str">
        <f>B127</f>
        <v>rho1</v>
      </c>
      <c r="C128" s="21">
        <f>rho_1*16.01846</f>
        <v>25.931983807746985</v>
      </c>
      <c r="D128" t="s">
        <v>86</v>
      </c>
      <c r="P128" s="4"/>
    </row>
    <row r="129" spans="2:16" x14ac:dyDescent="0.25">
      <c r="B129" s="3" t="s">
        <v>44</v>
      </c>
      <c r="C129" s="11">
        <f>mdot/rho_1/A</f>
        <v>185.46828865491847</v>
      </c>
      <c r="D129" t="s">
        <v>25</v>
      </c>
      <c r="P129" s="4"/>
    </row>
    <row r="130" spans="2:16" x14ac:dyDescent="0.25">
      <c r="B130" s="24" t="str">
        <f>B129</f>
        <v>V1</v>
      </c>
      <c r="C130" s="21">
        <f>V_1/3.28</f>
        <v>56.545209955767831</v>
      </c>
      <c r="D130" t="s">
        <v>87</v>
      </c>
      <c r="P130" s="4"/>
    </row>
    <row r="131" spans="2:16" x14ac:dyDescent="0.25">
      <c r="B131" s="3" t="s">
        <v>77</v>
      </c>
      <c r="C131" s="11">
        <f>V_1/M_1</f>
        <v>1256.3624592511981</v>
      </c>
      <c r="D131" t="s">
        <v>32</v>
      </c>
      <c r="P131" s="4"/>
    </row>
    <row r="132" spans="2:16" x14ac:dyDescent="0.25">
      <c r="B132" s="24" t="str">
        <f>B131</f>
        <v>c1</v>
      </c>
      <c r="C132" s="21">
        <f>c_1/3.28</f>
        <v>383.03733513756043</v>
      </c>
      <c r="D132" t="s">
        <v>88</v>
      </c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/>
      <c r="P135" s="4"/>
    </row>
    <row r="136" spans="2:16" x14ac:dyDescent="0.25">
      <c r="B136" s="3"/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 t="s">
        <v>45</v>
      </c>
      <c r="C139" s="10">
        <f>cp*(T_1)</f>
        <v>160.91778599787438</v>
      </c>
      <c r="D139" t="s">
        <v>29</v>
      </c>
      <c r="E139" s="12" t="s">
        <v>89</v>
      </c>
      <c r="P139" s="4"/>
    </row>
    <row r="140" spans="2:16" x14ac:dyDescent="0.25">
      <c r="B140" s="24" t="str">
        <f>B139</f>
        <v>h1</v>
      </c>
      <c r="C140" s="21">
        <f>h_1*2.32442</f>
        <v>374.04052012917913</v>
      </c>
      <c r="D140" t="s">
        <v>70</v>
      </c>
      <c r="E140" s="12"/>
      <c r="P140" s="4"/>
    </row>
    <row r="141" spans="2:16" x14ac:dyDescent="0.25">
      <c r="B141" s="3" t="s">
        <v>46</v>
      </c>
      <c r="C141" s="10">
        <f>h_1+0.5*V_1^2/C10/gc</f>
        <v>161.60474337599794</v>
      </c>
      <c r="D141" t="s">
        <v>29</v>
      </c>
      <c r="P141" s="4"/>
    </row>
    <row r="142" spans="2:16" x14ac:dyDescent="0.25">
      <c r="B142" s="24" t="str">
        <f>B141</f>
        <v>ho1</v>
      </c>
      <c r="C142" s="21">
        <f>ho_1*2.32442</f>
        <v>375.63729759803715</v>
      </c>
      <c r="D142" t="s">
        <v>70</v>
      </c>
      <c r="P142" s="4"/>
    </row>
    <row r="143" spans="2:16" x14ac:dyDescent="0.25">
      <c r="B143" s="3"/>
      <c r="P143" s="4"/>
    </row>
    <row r="144" spans="2:16" ht="15.75" thickBot="1" x14ac:dyDescent="0.3">
      <c r="B144" s="6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8"/>
    </row>
    <row r="146" spans="2:16" ht="15.75" thickBot="1" x14ac:dyDescent="0.3"/>
    <row r="147" spans="2:16" x14ac:dyDescent="0.25">
      <c r="B147" s="13" t="s">
        <v>24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2"/>
    </row>
    <row r="148" spans="2:16" x14ac:dyDescent="0.25">
      <c r="B148" s="3"/>
      <c r="P148" s="4"/>
    </row>
    <row r="149" spans="2:16" x14ac:dyDescent="0.25">
      <c r="B149" s="3"/>
      <c r="P149" s="4"/>
    </row>
    <row r="150" spans="2:16" x14ac:dyDescent="0.25">
      <c r="B150" s="3"/>
      <c r="P150" s="4"/>
    </row>
    <row r="151" spans="2:16" x14ac:dyDescent="0.25">
      <c r="B151" s="3" t="s">
        <v>93</v>
      </c>
      <c r="P151" s="4"/>
    </row>
    <row r="152" spans="2:16" x14ac:dyDescent="0.25">
      <c r="B152" s="3" t="s">
        <v>47</v>
      </c>
      <c r="C152" s="10">
        <f>ho_1</f>
        <v>161.60474337599794</v>
      </c>
      <c r="D152" t="s">
        <v>29</v>
      </c>
      <c r="P152" s="4"/>
    </row>
    <row r="153" spans="2:16" x14ac:dyDescent="0.25">
      <c r="B153" s="24" t="str">
        <f>B152</f>
        <v>ho2</v>
      </c>
      <c r="C153" s="21">
        <f>ho_2*2.32442</f>
        <v>375.63729759803715</v>
      </c>
      <c r="D153" t="s">
        <v>70</v>
      </c>
      <c r="P153" s="4"/>
    </row>
    <row r="154" spans="2:16" x14ac:dyDescent="0.25">
      <c r="B154" s="3"/>
      <c r="P154" s="4"/>
    </row>
    <row r="155" spans="2:16" x14ac:dyDescent="0.25">
      <c r="B155" s="3"/>
      <c r="P155" s="4"/>
    </row>
    <row r="156" spans="2:16" x14ac:dyDescent="0.25">
      <c r="B156" s="3" t="s">
        <v>94</v>
      </c>
      <c r="P156" s="4"/>
    </row>
    <row r="157" spans="2:16" x14ac:dyDescent="0.25">
      <c r="B157" s="3" t="s">
        <v>48</v>
      </c>
      <c r="P157" s="4"/>
    </row>
    <row r="158" spans="2:16" x14ac:dyDescent="0.25">
      <c r="B158" s="3"/>
      <c r="P158" s="4"/>
    </row>
    <row r="159" spans="2:16" x14ac:dyDescent="0.25">
      <c r="B159" s="3" t="s">
        <v>49</v>
      </c>
      <c r="C159" s="11">
        <f>P_1*M_1/M_2*((2+M_1^2*(Gam-1))/(2+M_2^2*(Gam-1)))^0.5</f>
        <v>349.12615714998213</v>
      </c>
      <c r="D159" t="s">
        <v>1</v>
      </c>
      <c r="P159" s="4"/>
    </row>
    <row r="160" spans="2:16" x14ac:dyDescent="0.25">
      <c r="B160" s="24" t="str">
        <f>B159</f>
        <v>P2</v>
      </c>
      <c r="C160" s="21">
        <f>P_2*6.89476</f>
        <v>2407.1410632714105</v>
      </c>
      <c r="D160" t="s">
        <v>69</v>
      </c>
      <c r="P160" s="4"/>
    </row>
    <row r="161" spans="2:16" x14ac:dyDescent="0.25">
      <c r="B161" s="3" t="s">
        <v>50</v>
      </c>
      <c r="C161" s="11">
        <f>T_1*((2+M_1^2*(Gam-1))/(2+M_2^2*(Gam-1)))</f>
        <v>656.03346919884268</v>
      </c>
      <c r="D161" t="s">
        <v>21</v>
      </c>
      <c r="P161" s="4"/>
    </row>
    <row r="162" spans="2:16" x14ac:dyDescent="0.25">
      <c r="B162" s="3" t="s">
        <v>50</v>
      </c>
      <c r="C162" s="11">
        <f>C161-C8</f>
        <v>196.36346919884267</v>
      </c>
      <c r="D162" t="s">
        <v>2</v>
      </c>
      <c r="P162" s="4"/>
    </row>
    <row r="163" spans="2:16" x14ac:dyDescent="0.25">
      <c r="B163" s="24" t="str">
        <f>B162</f>
        <v>T2</v>
      </c>
      <c r="C163" s="21">
        <f>(C162+459.67)/1.8-273.15</f>
        <v>91.313038443801531</v>
      </c>
      <c r="D163" t="s">
        <v>85</v>
      </c>
      <c r="P163" s="4"/>
    </row>
    <row r="164" spans="2:16" x14ac:dyDescent="0.25">
      <c r="B164" s="3" t="s">
        <v>51</v>
      </c>
      <c r="C164" s="11">
        <f>P_2*((1+M_2^2*(Gam-1)/2))^(Gam/(Gam-1))</f>
        <v>355.94669854162419</v>
      </c>
      <c r="D164" t="s">
        <v>1</v>
      </c>
      <c r="L164" t="s">
        <v>106</v>
      </c>
      <c r="M164" s="11">
        <f>Po_2/((1+1^2*(Gam-1)/2))^(Gam/(Gam-1))</f>
        <v>188.04015823759528</v>
      </c>
      <c r="N164" t="str">
        <f>D164</f>
        <v>psia</v>
      </c>
      <c r="P164" s="4"/>
    </row>
    <row r="165" spans="2:16" x14ac:dyDescent="0.25">
      <c r="B165" s="24" t="str">
        <f>B164</f>
        <v>Po2</v>
      </c>
      <c r="C165" s="21">
        <f>Po_2*6.89476</f>
        <v>2454.1670592368487</v>
      </c>
      <c r="D165" t="s">
        <v>69</v>
      </c>
      <c r="M165" s="21">
        <f>M164*6.89476</f>
        <v>1296.4917614102424</v>
      </c>
      <c r="N165" t="str">
        <f t="shared" ref="N165:N173" si="0">D165</f>
        <v>kPa</v>
      </c>
      <c r="P165" s="4"/>
    </row>
    <row r="166" spans="2:16" x14ac:dyDescent="0.25">
      <c r="B166" s="3" t="s">
        <v>52</v>
      </c>
      <c r="C166" s="11">
        <f>T_2*((1+M_2^2*(Gam-1)/2))</f>
        <v>659.67</v>
      </c>
      <c r="D166" t="s">
        <v>21</v>
      </c>
      <c r="L166" t="s">
        <v>107</v>
      </c>
      <c r="M166">
        <f>To_2/((1+1^2*(Gam-1)/2))</f>
        <v>549.72500000000002</v>
      </c>
      <c r="N166" t="str">
        <f t="shared" si="0"/>
        <v>R</v>
      </c>
      <c r="P166" s="4"/>
    </row>
    <row r="167" spans="2:16" x14ac:dyDescent="0.25">
      <c r="B167" s="3" t="s">
        <v>52</v>
      </c>
      <c r="C167" s="11">
        <f>C166-C8</f>
        <v>199.99999999999994</v>
      </c>
      <c r="D167" t="s">
        <v>2</v>
      </c>
      <c r="L167" s="19"/>
      <c r="M167" s="11">
        <f>M166-C8</f>
        <v>90.055000000000007</v>
      </c>
      <c r="N167" t="str">
        <f t="shared" si="0"/>
        <v>F</v>
      </c>
      <c r="P167" s="4"/>
    </row>
    <row r="168" spans="2:16" x14ac:dyDescent="0.25">
      <c r="B168" s="24" t="str">
        <f>B167</f>
        <v>To2</v>
      </c>
      <c r="C168" s="21">
        <f>(C167+459.67)/1.8-273.15</f>
        <v>93.333333333333314</v>
      </c>
      <c r="D168" t="s">
        <v>85</v>
      </c>
      <c r="M168" s="21">
        <f>(M167+459.67)/1.8-273.15</f>
        <v>32.252777777777794</v>
      </c>
      <c r="N168" t="str">
        <f t="shared" si="0"/>
        <v>C</v>
      </c>
      <c r="P168" s="4"/>
    </row>
    <row r="169" spans="2:16" x14ac:dyDescent="0.25">
      <c r="B169" s="3"/>
      <c r="P169" s="4"/>
    </row>
    <row r="170" spans="2:16" x14ac:dyDescent="0.25">
      <c r="B170" s="3" t="s">
        <v>53</v>
      </c>
      <c r="C170" s="9">
        <f>P_2*144/Z/Rg/T_2</f>
        <v>1.4363492076940296</v>
      </c>
      <c r="D170" t="s">
        <v>26</v>
      </c>
      <c r="L170" t="s">
        <v>108</v>
      </c>
      <c r="M170" s="9">
        <f>M164*144/Z/Rg/M166</f>
        <v>0.92322757518752252</v>
      </c>
      <c r="N170" t="str">
        <f t="shared" si="0"/>
        <v>lbm/ft3</v>
      </c>
      <c r="P170" s="4"/>
    </row>
    <row r="171" spans="2:16" x14ac:dyDescent="0.25">
      <c r="B171" s="24" t="str">
        <f>B170</f>
        <v>rho2</v>
      </c>
      <c r="C171" s="21">
        <f>rho_2*16.01846</f>
        <v>23.008102329478508</v>
      </c>
      <c r="D171" t="s">
        <v>86</v>
      </c>
      <c r="M171" s="21">
        <f>M170*16.01846</f>
        <v>14.788683984038324</v>
      </c>
      <c r="N171" t="str">
        <f t="shared" si="0"/>
        <v>kg/m3</v>
      </c>
      <c r="P171" s="4"/>
    </row>
    <row r="172" spans="2:16" x14ac:dyDescent="0.25">
      <c r="B172" s="3" t="s">
        <v>54</v>
      </c>
      <c r="C172" s="11">
        <f>mdot/rho_2/A</f>
        <v>209.0376941729684</v>
      </c>
      <c r="D172" t="s">
        <v>25</v>
      </c>
      <c r="L172" t="s">
        <v>109</v>
      </c>
      <c r="M172" s="11">
        <f>mdot/M170/CdA</f>
        <v>1149.4187382168716</v>
      </c>
      <c r="N172" t="str">
        <f t="shared" si="0"/>
        <v>ft/s</v>
      </c>
      <c r="P172" s="4"/>
    </row>
    <row r="173" spans="2:16" x14ac:dyDescent="0.25">
      <c r="B173" s="24" t="str">
        <f>B172</f>
        <v>V2</v>
      </c>
      <c r="C173" s="21">
        <f>V_2/3.28</f>
        <v>63.731004321026958</v>
      </c>
      <c r="D173" t="s">
        <v>87</v>
      </c>
      <c r="M173" s="21">
        <f>M172/3.28</f>
        <v>350.43254213929015</v>
      </c>
      <c r="N173" t="str">
        <f t="shared" si="0"/>
        <v>m/s</v>
      </c>
      <c r="P173" s="4"/>
    </row>
    <row r="174" spans="2:16" x14ac:dyDescent="0.25">
      <c r="B174" s="3"/>
      <c r="P174" s="4"/>
    </row>
    <row r="175" spans="2:16" x14ac:dyDescent="0.25">
      <c r="B175" s="3" t="s">
        <v>55</v>
      </c>
      <c r="C175" s="17">
        <f>ho_2-0.5*V_2^2/C10/gc</f>
        <v>160.73209421524962</v>
      </c>
      <c r="D175" t="s">
        <v>29</v>
      </c>
      <c r="P175" s="4"/>
    </row>
    <row r="176" spans="2:16" x14ac:dyDescent="0.25">
      <c r="B176" s="24" t="str">
        <f>B175</f>
        <v>h2</v>
      </c>
      <c r="C176" s="21">
        <f>h_2*2.32442</f>
        <v>373.6088944358105</v>
      </c>
      <c r="D176" t="s">
        <v>70</v>
      </c>
      <c r="P176" s="4"/>
    </row>
    <row r="177" spans="2:16" x14ac:dyDescent="0.25">
      <c r="B177" s="3" t="s">
        <v>78</v>
      </c>
      <c r="C177" s="11">
        <f>V_2/M_2</f>
        <v>1255.6221464748085</v>
      </c>
      <c r="D177" t="s">
        <v>25</v>
      </c>
      <c r="P177" s="4"/>
    </row>
    <row r="178" spans="2:16" x14ac:dyDescent="0.25">
      <c r="B178" s="24" t="str">
        <f>B177</f>
        <v>c2</v>
      </c>
      <c r="C178" s="21">
        <f>c_2/3.28</f>
        <v>382.81163002280749</v>
      </c>
      <c r="D178" t="s">
        <v>88</v>
      </c>
      <c r="P178" s="4"/>
    </row>
    <row r="179" spans="2:16" x14ac:dyDescent="0.25">
      <c r="B179" s="3"/>
      <c r="P179" s="4"/>
    </row>
    <row r="180" spans="2:16" x14ac:dyDescent="0.25">
      <c r="B180" s="3"/>
      <c r="P180" s="4"/>
    </row>
    <row r="181" spans="2:16" x14ac:dyDescent="0.25">
      <c r="B181" s="3"/>
      <c r="P181" s="4"/>
    </row>
    <row r="182" spans="2:16" x14ac:dyDescent="0.25">
      <c r="B182" s="3"/>
      <c r="P182" s="4"/>
    </row>
    <row r="183" spans="2:16" x14ac:dyDescent="0.25">
      <c r="B183" s="3"/>
      <c r="P183" s="4"/>
    </row>
    <row r="184" spans="2:16" x14ac:dyDescent="0.25">
      <c r="B184" s="3"/>
      <c r="P184" s="4"/>
    </row>
    <row r="185" spans="2:16" x14ac:dyDescent="0.25">
      <c r="B185" s="3"/>
      <c r="P185" s="4"/>
    </row>
    <row r="186" spans="2:16" x14ac:dyDescent="0.25">
      <c r="B186" s="3"/>
      <c r="P186" s="4"/>
    </row>
    <row r="187" spans="2:16" x14ac:dyDescent="0.25">
      <c r="B187" s="3"/>
      <c r="P187" s="4"/>
    </row>
    <row r="188" spans="2:16" x14ac:dyDescent="0.25">
      <c r="B188" s="3"/>
      <c r="P188" s="4"/>
    </row>
    <row r="189" spans="2:16" ht="15.75" thickBot="1" x14ac:dyDescent="0.3">
      <c r="B189" s="6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8"/>
    </row>
  </sheetData>
  <phoneticPr fontId="3" type="noConversion"/>
  <pageMargins left="0.7" right="0.7" top="0.75" bottom="0.75" header="0.3" footer="0.3"/>
  <pageSetup orientation="portrait" horizontalDpi="4294967292" verticalDpi="0" r:id="rId1"/>
  <customProperties>
    <customPr name="Property Database" r:id="rId2"/>
  </customProperties>
  <drawing r:id="rId3"/>
  <legacyDrawing r:id="rId4"/>
  <oleObjects>
    <mc:AlternateContent xmlns:mc="http://schemas.openxmlformats.org/markup-compatibility/2006">
      <mc:Choice Requires="x14">
        <oleObject progId="Equation.3" shapeId="1032" r:id="rId5">
          <objectPr defaultSize="0" r:id="rId6">
            <anchor moveWithCells="1" sizeWithCells="1">
              <from>
                <xdr:col>5</xdr:col>
                <xdr:colOff>533400</xdr:colOff>
                <xdr:row>115</xdr:row>
                <xdr:rowOff>95250</xdr:rowOff>
              </from>
              <to>
                <xdr:col>8</xdr:col>
                <xdr:colOff>495300</xdr:colOff>
                <xdr:row>119</xdr:row>
                <xdr:rowOff>19050</xdr:rowOff>
              </to>
            </anchor>
          </objectPr>
        </oleObject>
      </mc:Choice>
      <mc:Fallback>
        <oleObject progId="Equation.3" shapeId="1032" r:id="rId5"/>
      </mc:Fallback>
    </mc:AlternateContent>
    <mc:AlternateContent xmlns:mc="http://schemas.openxmlformats.org/markup-compatibility/2006">
      <mc:Choice Requires="x14">
        <oleObject progId="Equation.3" shapeId="1033" r:id="rId7">
          <objectPr defaultSize="0" r:id="rId8">
            <anchor moveWithCells="1" sizeWithCells="1">
              <from>
                <xdr:col>4</xdr:col>
                <xdr:colOff>447675</xdr:colOff>
                <xdr:row>111</xdr:row>
                <xdr:rowOff>57150</xdr:rowOff>
              </from>
              <to>
                <xdr:col>11</xdr:col>
                <xdr:colOff>600075</xdr:colOff>
                <xdr:row>115</xdr:row>
                <xdr:rowOff>38100</xdr:rowOff>
              </to>
            </anchor>
          </objectPr>
        </oleObject>
      </mc:Choice>
      <mc:Fallback>
        <oleObject progId="Equation.3" shapeId="1033" r:id="rId7"/>
      </mc:Fallback>
    </mc:AlternateContent>
    <mc:AlternateContent xmlns:mc="http://schemas.openxmlformats.org/markup-compatibility/2006">
      <mc:Choice Requires="x14">
        <oleObject progId="Equation.3" shapeId="1035" r:id="rId9">
          <objectPr defaultSize="0" r:id="rId10">
            <anchor moveWithCells="1" sizeWithCells="1">
              <from>
                <xdr:col>5</xdr:col>
                <xdr:colOff>257175</xdr:colOff>
                <xdr:row>139</xdr:row>
                <xdr:rowOff>114300</xdr:rowOff>
              </from>
              <to>
                <xdr:col>7</xdr:col>
                <xdr:colOff>285750</xdr:colOff>
                <xdr:row>143</xdr:row>
                <xdr:rowOff>66675</xdr:rowOff>
              </to>
            </anchor>
          </objectPr>
        </oleObject>
      </mc:Choice>
      <mc:Fallback>
        <oleObject progId="Equation.3" shapeId="1035" r:id="rId9"/>
      </mc:Fallback>
    </mc:AlternateContent>
    <mc:AlternateContent xmlns:mc="http://schemas.openxmlformats.org/markup-compatibility/2006">
      <mc:Choice Requires="x14">
        <oleObject progId="Equation.3" shapeId="1037" r:id="rId11">
          <objectPr defaultSize="0" r:id="rId12">
            <anchor moveWithCells="1" sizeWithCells="1">
              <from>
                <xdr:col>5</xdr:col>
                <xdr:colOff>171450</xdr:colOff>
                <xdr:row>129</xdr:row>
                <xdr:rowOff>19050</xdr:rowOff>
              </from>
              <to>
                <xdr:col>7</xdr:col>
                <xdr:colOff>38100</xdr:colOff>
                <xdr:row>130</xdr:row>
                <xdr:rowOff>114300</xdr:rowOff>
              </to>
            </anchor>
          </objectPr>
        </oleObject>
      </mc:Choice>
      <mc:Fallback>
        <oleObject progId="Equation.3" shapeId="1037" r:id="rId11"/>
      </mc:Fallback>
    </mc:AlternateContent>
    <mc:AlternateContent xmlns:mc="http://schemas.openxmlformats.org/markup-compatibility/2006">
      <mc:Choice Requires="x14">
        <oleObject progId="Equation.3" shapeId="1038" r:id="rId13">
          <objectPr defaultSize="0" r:id="rId14">
            <anchor moveWithCells="1" sizeWithCells="1">
              <from>
                <xdr:col>6</xdr:col>
                <xdr:colOff>600075</xdr:colOff>
                <xdr:row>132</xdr:row>
                <xdr:rowOff>180975</xdr:rowOff>
              </from>
              <to>
                <xdr:col>9</xdr:col>
                <xdr:colOff>104775</xdr:colOff>
                <xdr:row>136</xdr:row>
                <xdr:rowOff>104775</xdr:rowOff>
              </to>
            </anchor>
          </objectPr>
        </oleObject>
      </mc:Choice>
      <mc:Fallback>
        <oleObject progId="Equation.3" shapeId="1038" r:id="rId13"/>
      </mc:Fallback>
    </mc:AlternateContent>
    <mc:AlternateContent xmlns:mc="http://schemas.openxmlformats.org/markup-compatibility/2006">
      <mc:Choice Requires="x14">
        <oleObject progId="Equation.3" shapeId="1039" r:id="rId15">
          <objectPr defaultSize="0" r:id="rId16">
            <anchor moveWithCells="1" sizeWithCells="1">
              <from>
                <xdr:col>5</xdr:col>
                <xdr:colOff>114300</xdr:colOff>
                <xdr:row>120</xdr:row>
                <xdr:rowOff>76200</xdr:rowOff>
              </from>
              <to>
                <xdr:col>9</xdr:col>
                <xdr:colOff>352425</xdr:colOff>
                <xdr:row>125</xdr:row>
                <xdr:rowOff>19050</xdr:rowOff>
              </to>
            </anchor>
          </objectPr>
        </oleObject>
      </mc:Choice>
      <mc:Fallback>
        <oleObject progId="Equation.3" shapeId="1039" r:id="rId15"/>
      </mc:Fallback>
    </mc:AlternateContent>
    <mc:AlternateContent xmlns:mc="http://schemas.openxmlformats.org/markup-compatibility/2006">
      <mc:Choice Requires="x14">
        <oleObject progId="Equation.3" shapeId="1040" r:id="rId17">
          <objectPr defaultSize="0" r:id="rId18">
            <anchor moveWithCells="1" sizeWithCells="1">
              <from>
                <xdr:col>5</xdr:col>
                <xdr:colOff>161925</xdr:colOff>
                <xdr:row>125</xdr:row>
                <xdr:rowOff>85725</xdr:rowOff>
              </from>
              <to>
                <xdr:col>8</xdr:col>
                <xdr:colOff>247650</xdr:colOff>
                <xdr:row>128</xdr:row>
                <xdr:rowOff>133350</xdr:rowOff>
              </to>
            </anchor>
          </objectPr>
        </oleObject>
      </mc:Choice>
      <mc:Fallback>
        <oleObject progId="Equation.3" shapeId="1040" r:id="rId17"/>
      </mc:Fallback>
    </mc:AlternateContent>
    <mc:AlternateContent xmlns:mc="http://schemas.openxmlformats.org/markup-compatibility/2006">
      <mc:Choice Requires="x14">
        <oleObject progId="Equation.3" shapeId="1042" r:id="rId19">
          <objectPr defaultSize="0" r:id="rId20">
            <anchor moveWithCells="1" sizeWithCells="1">
              <from>
                <xdr:col>5</xdr:col>
                <xdr:colOff>190500</xdr:colOff>
                <xdr:row>131</xdr:row>
                <xdr:rowOff>0</xdr:rowOff>
              </from>
              <to>
                <xdr:col>6</xdr:col>
                <xdr:colOff>552450</xdr:colOff>
                <xdr:row>132</xdr:row>
                <xdr:rowOff>95250</xdr:rowOff>
              </to>
            </anchor>
          </objectPr>
        </oleObject>
      </mc:Choice>
      <mc:Fallback>
        <oleObject progId="Equation.3" shapeId="1042" r:id="rId19"/>
      </mc:Fallback>
    </mc:AlternateContent>
    <mc:AlternateContent xmlns:mc="http://schemas.openxmlformats.org/markup-compatibility/2006">
      <mc:Choice Requires="x14">
        <oleObject progId="Equation.3" shapeId="1053" r:id="rId21">
          <objectPr defaultSize="0" r:id="rId16">
            <anchor moveWithCells="1" sizeWithCells="1">
              <from>
                <xdr:col>4</xdr:col>
                <xdr:colOff>590550</xdr:colOff>
                <xdr:row>166</xdr:row>
                <xdr:rowOff>76200</xdr:rowOff>
              </from>
              <to>
                <xdr:col>9</xdr:col>
                <xdr:colOff>219075</xdr:colOff>
                <xdr:row>171</xdr:row>
                <xdr:rowOff>19050</xdr:rowOff>
              </to>
            </anchor>
          </objectPr>
        </oleObject>
      </mc:Choice>
      <mc:Fallback>
        <oleObject progId="Equation.3" shapeId="1053" r:id="rId21"/>
      </mc:Fallback>
    </mc:AlternateContent>
    <mc:AlternateContent xmlns:mc="http://schemas.openxmlformats.org/markup-compatibility/2006">
      <mc:Choice Requires="x14">
        <oleObject progId="Equation.3" shapeId="1054" r:id="rId22">
          <objectPr defaultSize="0" r:id="rId18">
            <anchor moveWithCells="1" sizeWithCells="1">
              <from>
                <xdr:col>4</xdr:col>
                <xdr:colOff>590550</xdr:colOff>
                <xdr:row>171</xdr:row>
                <xdr:rowOff>123825</xdr:rowOff>
              </from>
              <to>
                <xdr:col>8</xdr:col>
                <xdr:colOff>66675</xdr:colOff>
                <xdr:row>174</xdr:row>
                <xdr:rowOff>171450</xdr:rowOff>
              </to>
            </anchor>
          </objectPr>
        </oleObject>
      </mc:Choice>
      <mc:Fallback>
        <oleObject progId="Equation.3" shapeId="1054" r:id="rId22"/>
      </mc:Fallback>
    </mc:AlternateContent>
    <mc:AlternateContent xmlns:mc="http://schemas.openxmlformats.org/markup-compatibility/2006">
      <mc:Choice Requires="x14">
        <oleObject progId="Equation.3" shapeId="1057" r:id="rId23">
          <objectPr defaultSize="0" r:id="rId24">
            <anchor moveWithCells="1" sizeWithCells="1">
              <from>
                <xdr:col>4</xdr:col>
                <xdr:colOff>581025</xdr:colOff>
                <xdr:row>156</xdr:row>
                <xdr:rowOff>171450</xdr:rowOff>
              </from>
              <to>
                <xdr:col>9</xdr:col>
                <xdr:colOff>171450</xdr:colOff>
                <xdr:row>161</xdr:row>
                <xdr:rowOff>57150</xdr:rowOff>
              </to>
            </anchor>
          </objectPr>
        </oleObject>
      </mc:Choice>
      <mc:Fallback>
        <oleObject progId="Equation.3" shapeId="1057" r:id="rId23"/>
      </mc:Fallback>
    </mc:AlternateContent>
    <mc:AlternateContent xmlns:mc="http://schemas.openxmlformats.org/markup-compatibility/2006">
      <mc:Choice Requires="x14">
        <oleObject progId="Equation.3" shapeId="1058" r:id="rId25">
          <objectPr defaultSize="0" r:id="rId26">
            <anchor moveWithCells="1" sizeWithCells="1">
              <from>
                <xdr:col>4</xdr:col>
                <xdr:colOff>590550</xdr:colOff>
                <xdr:row>161</xdr:row>
                <xdr:rowOff>161925</xdr:rowOff>
              </from>
              <to>
                <xdr:col>8</xdr:col>
                <xdr:colOff>180975</xdr:colOff>
                <xdr:row>165</xdr:row>
                <xdr:rowOff>180975</xdr:rowOff>
              </to>
            </anchor>
          </objectPr>
        </oleObject>
      </mc:Choice>
      <mc:Fallback>
        <oleObject progId="Equation.3" shapeId="1058" r:id="rId25"/>
      </mc:Fallback>
    </mc:AlternateContent>
    <mc:AlternateContent xmlns:mc="http://schemas.openxmlformats.org/markup-compatibility/2006">
      <mc:Choice Requires="x14">
        <oleObject progId="Equation.3" shapeId="1059" r:id="rId27">
          <objectPr defaultSize="0" r:id="rId12">
            <anchor moveWithCells="1" sizeWithCells="1">
              <from>
                <xdr:col>5</xdr:col>
                <xdr:colOff>9525</xdr:colOff>
                <xdr:row>176</xdr:row>
                <xdr:rowOff>76200</xdr:rowOff>
              </from>
              <to>
                <xdr:col>6</xdr:col>
                <xdr:colOff>485775</xdr:colOff>
                <xdr:row>177</xdr:row>
                <xdr:rowOff>171450</xdr:rowOff>
              </to>
            </anchor>
          </objectPr>
        </oleObject>
      </mc:Choice>
      <mc:Fallback>
        <oleObject progId="Equation.3" shapeId="1059" r:id="rId27"/>
      </mc:Fallback>
    </mc:AlternateContent>
    <mc:AlternateContent xmlns:mc="http://schemas.openxmlformats.org/markup-compatibility/2006">
      <mc:Choice Requires="x14">
        <oleObject progId="Equation.3" shapeId="1060" r:id="rId28">
          <objectPr defaultSize="0" r:id="rId20">
            <anchor moveWithCells="1" sizeWithCells="1">
              <from>
                <xdr:col>5</xdr:col>
                <xdr:colOff>19050</xdr:colOff>
                <xdr:row>178</xdr:row>
                <xdr:rowOff>66675</xdr:rowOff>
              </from>
              <to>
                <xdr:col>6</xdr:col>
                <xdr:colOff>381000</xdr:colOff>
                <xdr:row>179</xdr:row>
                <xdr:rowOff>161925</xdr:rowOff>
              </to>
            </anchor>
          </objectPr>
        </oleObject>
      </mc:Choice>
      <mc:Fallback>
        <oleObject progId="Equation.3" shapeId="1060" r:id="rId28"/>
      </mc:Fallback>
    </mc:AlternateContent>
    <mc:AlternateContent xmlns:mc="http://schemas.openxmlformats.org/markup-compatibility/2006">
      <mc:Choice Requires="x14">
        <oleObject progId="Equation.3" shapeId="1061" r:id="rId29">
          <objectPr defaultSize="0" r:id="rId10">
            <anchor moveWithCells="1" sizeWithCells="1">
              <from>
                <xdr:col>5</xdr:col>
                <xdr:colOff>38100</xdr:colOff>
                <xdr:row>180</xdr:row>
                <xdr:rowOff>38100</xdr:rowOff>
              </from>
              <to>
                <xdr:col>7</xdr:col>
                <xdr:colOff>66675</xdr:colOff>
                <xdr:row>183</xdr:row>
                <xdr:rowOff>180975</xdr:rowOff>
              </to>
            </anchor>
          </objectPr>
        </oleObject>
      </mc:Choice>
      <mc:Fallback>
        <oleObject progId="Equation.3" shapeId="1061" r:id="rId29"/>
      </mc:Fallback>
    </mc:AlternateContent>
    <mc:AlternateContent xmlns:mc="http://schemas.openxmlformats.org/markup-compatibility/2006">
      <mc:Choice Requires="x14">
        <oleObject progId="Equation.3" shapeId="1062" r:id="rId30">
          <objectPr defaultSize="0" r:id="rId6">
            <anchor moveWithCells="1" sizeWithCells="1">
              <from>
                <xdr:col>2</xdr:col>
                <xdr:colOff>171450</xdr:colOff>
                <xdr:row>52</xdr:row>
                <xdr:rowOff>85725</xdr:rowOff>
              </from>
              <to>
                <xdr:col>4</xdr:col>
                <xdr:colOff>219075</xdr:colOff>
                <xdr:row>56</xdr:row>
                <xdr:rowOff>9525</xdr:rowOff>
              </to>
            </anchor>
          </objectPr>
        </oleObject>
      </mc:Choice>
      <mc:Fallback>
        <oleObject progId="Equation.3" shapeId="1062" r:id="rId30"/>
      </mc:Fallback>
    </mc:AlternateContent>
    <mc:AlternateContent xmlns:mc="http://schemas.openxmlformats.org/markup-compatibility/2006">
      <mc:Choice Requires="x14">
        <oleObject progId="Equation.3" shapeId="1063" r:id="rId31">
          <objectPr defaultSize="0" r:id="rId8">
            <anchor moveWithCells="1" sizeWithCells="1">
              <from>
                <xdr:col>4</xdr:col>
                <xdr:colOff>428625</xdr:colOff>
                <xdr:row>52</xdr:row>
                <xdr:rowOff>76200</xdr:rowOff>
              </from>
              <to>
                <xdr:col>11</xdr:col>
                <xdr:colOff>581025</xdr:colOff>
                <xdr:row>56</xdr:row>
                <xdr:rowOff>57150</xdr:rowOff>
              </to>
            </anchor>
          </objectPr>
        </oleObject>
      </mc:Choice>
      <mc:Fallback>
        <oleObject progId="Equation.3" shapeId="1063" r:id="rId3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1EBE7-8A25-4970-98C6-304D6BA06EBC}">
  <dimension ref="A1:AH124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G3" sqref="G3"/>
    </sheetView>
  </sheetViews>
  <sheetFormatPr defaultRowHeight="15" x14ac:dyDescent="0.25"/>
  <sheetData>
    <row r="1" spans="1:34" x14ac:dyDescent="0.25">
      <c r="C1" s="33" t="s">
        <v>16</v>
      </c>
      <c r="D1" s="33" t="s">
        <v>129</v>
      </c>
      <c r="E1" s="33" t="s">
        <v>110</v>
      </c>
      <c r="F1" s="33" t="s">
        <v>110</v>
      </c>
      <c r="G1" s="33" t="s">
        <v>111</v>
      </c>
      <c r="H1" s="33" t="s">
        <v>20</v>
      </c>
      <c r="I1" s="33" t="s">
        <v>112</v>
      </c>
      <c r="J1" s="33" t="s">
        <v>112</v>
      </c>
      <c r="K1" s="33" t="s">
        <v>113</v>
      </c>
      <c r="L1" s="33" t="s">
        <v>113</v>
      </c>
      <c r="M1" s="33" t="s">
        <v>68</v>
      </c>
      <c r="N1" s="33" t="s">
        <v>68</v>
      </c>
      <c r="O1" s="33" t="s">
        <v>68</v>
      </c>
      <c r="P1" s="33" t="s">
        <v>68</v>
      </c>
      <c r="Q1" s="33" t="s">
        <v>114</v>
      </c>
      <c r="R1" s="33" t="s">
        <v>114</v>
      </c>
      <c r="S1" s="33" t="s">
        <v>114</v>
      </c>
      <c r="T1" s="33" t="s">
        <v>114</v>
      </c>
      <c r="U1" s="33" t="s">
        <v>115</v>
      </c>
      <c r="V1" s="33" t="s">
        <v>115</v>
      </c>
      <c r="W1" s="33" t="s">
        <v>67</v>
      </c>
      <c r="X1" s="33" t="s">
        <v>67</v>
      </c>
      <c r="Y1" s="33" t="s">
        <v>116</v>
      </c>
      <c r="Z1" s="33" t="s">
        <v>116</v>
      </c>
      <c r="AB1" s="34" t="s">
        <v>117</v>
      </c>
      <c r="AC1" s="34" t="s">
        <v>111</v>
      </c>
      <c r="AD1" s="34" t="s">
        <v>118</v>
      </c>
      <c r="AE1" s="34" t="s">
        <v>119</v>
      </c>
      <c r="AF1" s="34" t="s">
        <v>120</v>
      </c>
      <c r="AG1" s="34" t="s">
        <v>121</v>
      </c>
      <c r="AH1" s="34" t="s">
        <v>122</v>
      </c>
    </row>
    <row r="2" spans="1:34" x14ac:dyDescent="0.25">
      <c r="C2" s="33" t="s">
        <v>130</v>
      </c>
      <c r="D2" s="33" t="s">
        <v>15</v>
      </c>
      <c r="E2" s="33" t="s">
        <v>15</v>
      </c>
      <c r="F2" s="33" t="s">
        <v>58</v>
      </c>
      <c r="G2" s="33"/>
      <c r="H2" s="33" t="s">
        <v>123</v>
      </c>
      <c r="I2" s="33" t="s">
        <v>1</v>
      </c>
      <c r="J2" s="33" t="s">
        <v>69</v>
      </c>
      <c r="K2" s="33" t="s">
        <v>1</v>
      </c>
      <c r="L2" s="33" t="s">
        <v>69</v>
      </c>
      <c r="M2" s="33" t="s">
        <v>21</v>
      </c>
      <c r="N2" s="33" t="s">
        <v>124</v>
      </c>
      <c r="O2" s="33" t="s">
        <v>2</v>
      </c>
      <c r="P2" s="33" t="s">
        <v>85</v>
      </c>
      <c r="Q2" s="33" t="s">
        <v>21</v>
      </c>
      <c r="R2" s="33" t="s">
        <v>124</v>
      </c>
      <c r="S2" s="33" t="s">
        <v>2</v>
      </c>
      <c r="T2" s="33" t="s">
        <v>85</v>
      </c>
      <c r="U2" s="33" t="s">
        <v>125</v>
      </c>
      <c r="V2" s="33" t="s">
        <v>86</v>
      </c>
      <c r="W2" s="33" t="s">
        <v>25</v>
      </c>
      <c r="X2" s="33" t="s">
        <v>87</v>
      </c>
      <c r="Y2" s="33" t="s">
        <v>25</v>
      </c>
      <c r="Z2" s="33" t="s">
        <v>87</v>
      </c>
      <c r="AB2" s="34"/>
      <c r="AC2" s="34"/>
      <c r="AD2" s="34"/>
      <c r="AE2" s="34"/>
      <c r="AF2" s="34"/>
      <c r="AG2" s="34"/>
      <c r="AH2" s="34"/>
    </row>
    <row r="3" spans="1:34" x14ac:dyDescent="0.25">
      <c r="E3">
        <v>0</v>
      </c>
      <c r="F3">
        <f>E3/3.28</f>
        <v>0</v>
      </c>
      <c r="G3">
        <f>M_1</f>
        <v>0.14762323347790815</v>
      </c>
      <c r="H3">
        <f>(Gam/Z/Rg)^0.5*G3*(1+G3^2*(Gam-1)/2)^(-(Gam+1)/2/(Gam-1))</f>
        <v>2.3603314882924411E-2</v>
      </c>
      <c r="I3">
        <f>P_1</f>
        <v>393.95743156932838</v>
      </c>
      <c r="J3" s="21">
        <f>I3*6.89476</f>
        <v>2716.2419408869423</v>
      </c>
      <c r="K3">
        <f>Po_1</f>
        <v>400</v>
      </c>
      <c r="L3" s="21">
        <f>K3*6.89476</f>
        <v>2757.904</v>
      </c>
      <c r="M3">
        <f>T_1</f>
        <v>656.80728978724233</v>
      </c>
      <c r="N3">
        <f>M3/1.8</f>
        <v>364.89293877069019</v>
      </c>
      <c r="O3">
        <f>M3-'Example 7.3 - Pipe P1'!$C$8</f>
        <v>197.13728978724231</v>
      </c>
      <c r="P3">
        <f>N3-'Example 7.3 - Pipe P1'!$C$9</f>
        <v>91.742938770690216</v>
      </c>
      <c r="Q3">
        <f>To_1</f>
        <v>659.67000000000007</v>
      </c>
      <c r="R3">
        <f>Q3/1.8</f>
        <v>366.48333333333335</v>
      </c>
      <c r="S3">
        <f>Q3-'Example 7.3 - Pipe P1'!$C$8</f>
        <v>200.00000000000006</v>
      </c>
      <c r="T3">
        <f>R3-'Example 7.3 - Pipe P1'!$C$9</f>
        <v>93.333333333333371</v>
      </c>
      <c r="U3">
        <f>rho_1</f>
        <v>1.6188812037953075</v>
      </c>
      <c r="V3">
        <f>U3*16.01846</f>
        <v>25.931983807746985</v>
      </c>
      <c r="W3">
        <f>(Gam*I3/U3*gc*144)^0.5</f>
        <v>1256.3624592511985</v>
      </c>
      <c r="X3">
        <f>W3/3.28</f>
        <v>383.03733513756055</v>
      </c>
      <c r="Y3">
        <f>G3*W3</f>
        <v>185.46828865491855</v>
      </c>
      <c r="Z3">
        <f>Y3/3.28</f>
        <v>56.545209955767852</v>
      </c>
      <c r="AB3">
        <f>E3/$E$122</f>
        <v>0</v>
      </c>
      <c r="AC3">
        <f>G3</f>
        <v>0.14762323347790815</v>
      </c>
      <c r="AD3">
        <f>I3/$I$3</f>
        <v>1</v>
      </c>
      <c r="AE3">
        <f>K3/$K$3</f>
        <v>1</v>
      </c>
      <c r="AF3">
        <f>M3/$M$3</f>
        <v>1</v>
      </c>
      <c r="AG3">
        <f>U3/$U$3</f>
        <v>1</v>
      </c>
      <c r="AH3">
        <f>Y3/$Y$3</f>
        <v>1</v>
      </c>
    </row>
    <row r="4" spans="1:34" x14ac:dyDescent="0.25">
      <c r="E4">
        <f>(1/Gam*(1/M_1^2-1/G4^2)+(Gam+1)/2/Gam*LN((M_1^2/G4^2)*(1+G4^2*(Gam-1)/2)/(1+M_1^2*(Gam-1)/2)))*D/f/12</f>
        <v>1.2915466868656293</v>
      </c>
      <c r="F4">
        <f>E4/3.28</f>
        <v>0.3937642338004968</v>
      </c>
      <c r="G4">
        <f>G3+0.0025</f>
        <v>0.15012323347790815</v>
      </c>
      <c r="H4">
        <f>(Gam/Z/Rg)^0.5*G4*(1+G4^2*(Gam-1)/2)^(-(Gam+1)/2/(Gam-1))</f>
        <v>2.3992366562827206E-2</v>
      </c>
      <c r="I4">
        <f>K4/(1+(Gam-1)/2*G4^2)^(Gam/(Gam-1))</f>
        <v>387.36815607210701</v>
      </c>
      <c r="J4" s="21">
        <f>I4*6.89476</f>
        <v>2670.8104677597203</v>
      </c>
      <c r="K4">
        <f>mdot*Q4^0.5/A/H4/gc^0.5/144</f>
        <v>393.51374231659867</v>
      </c>
      <c r="L4" s="21">
        <f>K4*6.89476</f>
        <v>2713.1828099747918</v>
      </c>
      <c r="M4">
        <f>Q4/(1+(Gam-1)/2*G4^2)</f>
        <v>656.70994752247645</v>
      </c>
      <c r="N4">
        <f>M4/1.8</f>
        <v>364.83885973470916</v>
      </c>
      <c r="O4">
        <f>M4-'Example 7.3 - Pipe P1'!$C$8</f>
        <v>197.03994752247644</v>
      </c>
      <c r="P4">
        <f>N4-'Example 7.3 - Pipe P1'!$C$9</f>
        <v>91.688859734709183</v>
      </c>
      <c r="Q4">
        <f>Q3</f>
        <v>659.67000000000007</v>
      </c>
      <c r="R4">
        <f>R3</f>
        <v>366.48333333333335</v>
      </c>
      <c r="S4">
        <f>Q4-'Example 7.3 - Pipe P1'!$C$8</f>
        <v>200.00000000000006</v>
      </c>
      <c r="T4">
        <f>R4-'Example 7.3 - Pipe P1'!$C$9</f>
        <v>93.333333333333371</v>
      </c>
      <c r="U4">
        <f>I4/M4/Rg/Z*144</f>
        <v>1.5920399775932534</v>
      </c>
      <c r="V4">
        <f>U4*16.01846</f>
        <v>25.502028699478426</v>
      </c>
      <c r="W4">
        <f>(Gam*I4/U4*gc*144)^0.5</f>
        <v>1256.2693560680752</v>
      </c>
      <c r="X4">
        <f>W4/3.28</f>
        <v>383.0089500207547</v>
      </c>
      <c r="Y4">
        <f>G4*W4</f>
        <v>188.59521785214898</v>
      </c>
      <c r="Z4">
        <f>Y4/3.28</f>
        <v>57.498542028094207</v>
      </c>
      <c r="AB4">
        <f>E4/$E$122</f>
        <v>8.6100346898532291E-3</v>
      </c>
      <c r="AC4">
        <f>G4</f>
        <v>0.15012323347790815</v>
      </c>
      <c r="AD4">
        <f>I4/$I$3</f>
        <v>0.98327414342465125</v>
      </c>
      <c r="AE4">
        <f>K4/$K$3</f>
        <v>0.9837843557914967</v>
      </c>
      <c r="AF4">
        <f>M4/$M$3</f>
        <v>0.99985179478626462</v>
      </c>
      <c r="AG4">
        <f>U4/$U$3</f>
        <v>0.98341989137984465</v>
      </c>
      <c r="AH4">
        <f>Y4/$Y$3</f>
        <v>1.0168596433379959</v>
      </c>
    </row>
    <row r="5" spans="1:34" x14ac:dyDescent="0.25">
      <c r="E5">
        <f>(1/Gam*(1/M_1^2-1/G5^2)+(Gam+1)/2/Gam*LN((M_1^2/G5^2)*(1+G5^2*(Gam-1)/2)/(1+M_1^2*(Gam-1)/2)))*D/f</f>
        <v>30.228247977771066</v>
      </c>
      <c r="F5">
        <f>E5/3.28</f>
        <v>9.2159292615155692</v>
      </c>
      <c r="G5">
        <f>G4+0.0025</f>
        <v>0.15262323347790815</v>
      </c>
      <c r="H5">
        <f>(Gam/Z/Rg)^0.5*G5*(1+G5^2*(Gam-1)/2)^(-(Gam+1)/2/(Gam-1))</f>
        <v>2.4380887269434288E-2</v>
      </c>
      <c r="I5">
        <f>K5/(1+(Gam-1)/2*G5^2)^(Gam/(Gam-1))</f>
        <v>380.9942801960446</v>
      </c>
      <c r="J5" s="21">
        <f>I5*6.89476</f>
        <v>2626.8641233244803</v>
      </c>
      <c r="K5">
        <f>mdot*Q5^0.5/A/H5/gc^0.5/144</f>
        <v>387.24291896489427</v>
      </c>
      <c r="L5" s="21">
        <f>K5*6.89476</f>
        <v>2669.9469879623944</v>
      </c>
      <c r="M5">
        <f>Q5/(1+(Gam-1)/2*G5^2)</f>
        <v>656.61100018716786</v>
      </c>
      <c r="N5">
        <f>M5/1.8</f>
        <v>364.78388899287103</v>
      </c>
      <c r="O5">
        <f>M5-'Example 7.3 - Pipe P1'!$C$8</f>
        <v>196.94100018716784</v>
      </c>
      <c r="P5">
        <f>N5-'Example 7.3 - Pipe P1'!$C$9</f>
        <v>91.63388899287105</v>
      </c>
      <c r="Q5">
        <f>Q4</f>
        <v>659.67000000000007</v>
      </c>
      <c r="R5">
        <f>R4</f>
        <v>366.48333333333335</v>
      </c>
      <c r="S5">
        <f>Q5-'Example 7.3 - Pipe P1'!$C$8</f>
        <v>200.00000000000006</v>
      </c>
      <c r="T5">
        <f>R5-'Example 7.3 - Pipe P1'!$C$9</f>
        <v>93.333333333333371</v>
      </c>
      <c r="U5">
        <f>I5/M5/Rg/Z*144</f>
        <v>1.5660800209430081</v>
      </c>
      <c r="V5">
        <f>U5*16.01846</f>
        <v>25.08619017227474</v>
      </c>
      <c r="W5">
        <f>(Gam*I5/U5*gc*144)^0.5</f>
        <v>1256.1747106402765</v>
      </c>
      <c r="X5">
        <f>W5/3.28</f>
        <v>382.98009470740141</v>
      </c>
      <c r="Y5">
        <f>G5*W5</f>
        <v>191.72144615109465</v>
      </c>
      <c r="Z5">
        <f>Y5/3.28</f>
        <v>58.451660411919107</v>
      </c>
      <c r="AB5">
        <f>E5/$E$122</f>
        <v>0.20151518048001646</v>
      </c>
      <c r="AC5">
        <f>G5</f>
        <v>0.15262323347790815</v>
      </c>
      <c r="AD5">
        <f>I5/$I$3</f>
        <v>0.96709504546812308</v>
      </c>
      <c r="AE5">
        <f>K5/$K$3</f>
        <v>0.96810729741223567</v>
      </c>
      <c r="AF5">
        <f>M5/$M$3</f>
        <v>0.9997011458259879</v>
      </c>
      <c r="AG5">
        <f>U5/$U$3</f>
        <v>0.96738415225989882</v>
      </c>
      <c r="AH5">
        <f>Y5/$Y$3</f>
        <v>1.0337155076025459</v>
      </c>
    </row>
    <row r="6" spans="1:34" x14ac:dyDescent="0.25">
      <c r="E6">
        <f>(1/Gam*(1/M_1^2-1/G6^2)+(Gam+1)/2/Gam*LN((M_1^2/G6^2)*(1+G6^2*(Gam-1)/2)/(1+M_1^2*(Gam-1)/2)))*D/f</f>
        <v>44.238448710765859</v>
      </c>
      <c r="F6">
        <f>E6/3.28</f>
        <v>13.487331924013983</v>
      </c>
      <c r="G6">
        <f>G5+0.0025</f>
        <v>0.15512323347790816</v>
      </c>
      <c r="H6">
        <f>(Gam/Z/Rg)^0.5*G6*(1+G6^2*(Gam-1)/2)^(-(Gam+1)/2/(Gam-1))</f>
        <v>2.4768868704121413E-2</v>
      </c>
      <c r="I6">
        <f>K6/(1+(Gam-1)/2*G6^2)^(Gam/(Gam-1))</f>
        <v>374.82538997262981</v>
      </c>
      <c r="J6" s="21">
        <f>I6*6.89476</f>
        <v>2584.3311057676892</v>
      </c>
      <c r="K6">
        <f>mdot*Q6^0.5/A/H6/gc^0.5/144</f>
        <v>381.17711656321126</v>
      </c>
      <c r="L6" s="21">
        <f>K6*6.89476</f>
        <v>2628.1247361953665</v>
      </c>
      <c r="M6">
        <f>Q6/(1+(Gam-1)/2*G6^2)</f>
        <v>656.51044924527014</v>
      </c>
      <c r="N6">
        <f>M6/1.8</f>
        <v>364.72802735848342</v>
      </c>
      <c r="O6">
        <f>M6-'Example 7.3 - Pipe P1'!$C$8</f>
        <v>196.84044924527012</v>
      </c>
      <c r="P6">
        <f>N6-'Example 7.3 - Pipe P1'!$C$9</f>
        <v>91.578027358483439</v>
      </c>
      <c r="Q6">
        <f>Q5</f>
        <v>659.67000000000007</v>
      </c>
      <c r="R6">
        <f>R5</f>
        <v>366.48333333333335</v>
      </c>
      <c r="S6">
        <f>Q6-'Example 7.3 - Pipe P1'!$C$8</f>
        <v>200.00000000000006</v>
      </c>
      <c r="T6">
        <f>R6-'Example 7.3 - Pipe P1'!$C$9</f>
        <v>93.333333333333371</v>
      </c>
      <c r="U6">
        <f>I6/M6/Rg/Z*144</f>
        <v>1.5409587252139771</v>
      </c>
      <c r="V6">
        <f>U6*16.01846</f>
        <v>24.683785701491086</v>
      </c>
      <c r="W6">
        <f>(Gam*I6/U6*gc*144)^0.5</f>
        <v>1256.0785240196444</v>
      </c>
      <c r="X6">
        <f>W6/3.28</f>
        <v>382.9507695181843</v>
      </c>
      <c r="Y6">
        <f>G6*W6</f>
        <v>194.84696214808557</v>
      </c>
      <c r="Z6">
        <f>Y6/3.28</f>
        <v>59.404561630513896</v>
      </c>
      <c r="AB6">
        <f>E6/$E$122</f>
        <v>0.29491351872796423</v>
      </c>
      <c r="AC6">
        <f>G6</f>
        <v>0.15512323347790816</v>
      </c>
      <c r="AD6">
        <f>I6/$I$3</f>
        <v>0.95143627188225355</v>
      </c>
      <c r="AE6">
        <f>K6/$K$3</f>
        <v>0.95294279140802818</v>
      </c>
      <c r="AF6">
        <f>M6/$M$3</f>
        <v>0.99954805534806357</v>
      </c>
      <c r="AG6">
        <f>U6/$U$3</f>
        <v>0.95186646283949139</v>
      </c>
      <c r="AH6">
        <f>Y6/$Y$3</f>
        <v>1.0505675313078287</v>
      </c>
    </row>
    <row r="7" spans="1:34" x14ac:dyDescent="0.25">
      <c r="E7">
        <f>(1/Gam*(1/M_1^2-1/G7^2)+(Gam+1)/2/Gam*LN((M_1^2/G7^2)*(1+G7^2*(Gam-1)/2)/(1+M_1^2*(Gam-1)/2)))*D/f</f>
        <v>57.574655863057828</v>
      </c>
      <c r="F7">
        <f>E7/3.28</f>
        <v>17.553248738737143</v>
      </c>
      <c r="G7">
        <f>G6+0.0025</f>
        <v>0.15762323347790816</v>
      </c>
      <c r="H7">
        <f>(Gam/Z/Rg)^0.5*G7*(1+G7^2*(Gam-1)/2)^(-(Gam+1)/2/(Gam-1))</f>
        <v>2.5156302594603216E-2</v>
      </c>
      <c r="I7">
        <f>K7/(1+(Gam-1)/2*G7^2)^(Gam/(Gam-1))</f>
        <v>368.85173212566019</v>
      </c>
      <c r="J7" s="21">
        <f>I7*6.89476</f>
        <v>2543.1441685907166</v>
      </c>
      <c r="K7">
        <f>mdot*Q7^0.5/A/H7/gc^0.5/144</f>
        <v>375.30658242261768</v>
      </c>
      <c r="L7" s="21">
        <f>K7*6.89476</f>
        <v>2587.6488122241676</v>
      </c>
      <c r="M7">
        <f>Q7/(1+(Gam-1)/2*G7^2)</f>
        <v>656.40829618378291</v>
      </c>
      <c r="N7">
        <f>M7/1.8</f>
        <v>364.67127565765719</v>
      </c>
      <c r="O7">
        <f>M7-'Example 7.3 - Pipe P1'!$C$8</f>
        <v>196.73829618378289</v>
      </c>
      <c r="P7">
        <f>N7-'Example 7.3 - Pipe P1'!$C$9</f>
        <v>91.521275657657213</v>
      </c>
      <c r="Q7">
        <f>Q6</f>
        <v>659.67000000000007</v>
      </c>
      <c r="R7">
        <f>R6</f>
        <v>366.48333333333335</v>
      </c>
      <c r="S7">
        <f>Q7-'Example 7.3 - Pipe P1'!$C$8</f>
        <v>200.00000000000006</v>
      </c>
      <c r="T7">
        <f>R7-'Example 7.3 - Pipe P1'!$C$9</f>
        <v>93.333333333333371</v>
      </c>
      <c r="U7">
        <f>I7/M7/Rg/Z*144</f>
        <v>1.5166361849635281</v>
      </c>
      <c r="V7">
        <f>U7*16.01846</f>
        <v>24.294176063390879</v>
      </c>
      <c r="W7">
        <f>(Gam*I7/U7*gc*144)^0.5</f>
        <v>1255.9807972747146</v>
      </c>
      <c r="X7">
        <f>W7/3.28</f>
        <v>382.92097477887643</v>
      </c>
      <c r="Y7">
        <f>G7*W7</f>
        <v>197.97175445260157</v>
      </c>
      <c r="Z7">
        <f>Y7/3.28</f>
        <v>60.357242211159019</v>
      </c>
      <c r="AB7">
        <f>E7/$E$122</f>
        <v>0.38381871075858637</v>
      </c>
      <c r="AC7">
        <f>G7</f>
        <v>0.15762323347790816</v>
      </c>
      <c r="AD7">
        <f>I7/$I$3</f>
        <v>0.93627306548410649</v>
      </c>
      <c r="AE7">
        <f>K7/$K$3</f>
        <v>0.93826645605654424</v>
      </c>
      <c r="AF7">
        <f>M7/$M$3</f>
        <v>0.99939252561647318</v>
      </c>
      <c r="AG7">
        <f>U7/$U$3</f>
        <v>0.93684217310567564</v>
      </c>
      <c r="AH7">
        <f>Y7/$Y$3</f>
        <v>1.0674156530389241</v>
      </c>
    </row>
    <row r="8" spans="1:34" x14ac:dyDescent="0.25">
      <c r="E8">
        <f>(1/Gam*(1/M_1^2-1/G8^2)+(Gam+1)/2/Gam*LN((M_1^2/G8^2)*(1+G8^2*(Gam-1)/2)/(1+M_1^2*(Gam-1)/2)))*D/f</f>
        <v>70.278832824833017</v>
      </c>
      <c r="F8">
        <f>E8/3.28</f>
        <v>21.426473422205188</v>
      </c>
      <c r="G8">
        <f>G7+0.0025</f>
        <v>0.16012323347790816</v>
      </c>
      <c r="H8">
        <f>(Gam/Z/Rg)^0.5*G8*(1+G8^2*(Gam-1)/2)^(-(Gam+1)/2/(Gam-1))</f>
        <v>2.5543180695316501E-2</v>
      </c>
      <c r="I8">
        <f>K8/(1+(Gam-1)/2*G8^2)^(Gam/(Gam-1))</f>
        <v>363.06416249436927</v>
      </c>
      <c r="J8" s="21">
        <f>I8*6.89476</f>
        <v>2503.2402649996775</v>
      </c>
      <c r="K8">
        <f>mdot*Q8^0.5/A/H8/gc^0.5/144</f>
        <v>369.62217297005958</v>
      </c>
      <c r="L8" s="21">
        <f>K8*6.89476</f>
        <v>2548.4561733070477</v>
      </c>
      <c r="M8">
        <f>Q8/(1+(Gam-1)/2*G8^2)</f>
        <v>656.3045425126968</v>
      </c>
      <c r="N8">
        <f>M8/1.8</f>
        <v>364.61363472927599</v>
      </c>
      <c r="O8">
        <f>M8-'Example 7.3 - Pipe P1'!$C$8</f>
        <v>196.63454251269678</v>
      </c>
      <c r="P8">
        <f>N8-'Example 7.3 - Pipe P1'!$C$9</f>
        <v>91.463634729276009</v>
      </c>
      <c r="Q8">
        <f>Q7</f>
        <v>659.67000000000007</v>
      </c>
      <c r="R8">
        <f>R7</f>
        <v>366.48333333333335</v>
      </c>
      <c r="S8">
        <f>Q8-'Example 7.3 - Pipe P1'!$C$8</f>
        <v>200.00000000000006</v>
      </c>
      <c r="T8">
        <f>R8-'Example 7.3 - Pipe P1'!$C$9</f>
        <v>93.333333333333371</v>
      </c>
      <c r="U8">
        <f>I8/M8/Rg/Z*144</f>
        <v>1.4930749869129658</v>
      </c>
      <c r="V8">
        <f>U8*16.01846</f>
        <v>23.916761954865869</v>
      </c>
      <c r="W8">
        <f>(Gam*I8/U8*gc*144)^0.5</f>
        <v>1255.8815314906847</v>
      </c>
      <c r="X8">
        <f>W8/3.28</f>
        <v>382.8907108203307</v>
      </c>
      <c r="Y8">
        <f>G8*W8</f>
        <v>201.09581168747576</v>
      </c>
      <c r="Z8">
        <f>Y8/3.28</f>
        <v>61.30969868520603</v>
      </c>
      <c r="AB8">
        <f>E8/$E$122</f>
        <v>0.46851050352093249</v>
      </c>
      <c r="AC8">
        <f>G8</f>
        <v>0.16012323347790816</v>
      </c>
      <c r="AD8">
        <f>I8/$I$3</f>
        <v>0.92158221523605777</v>
      </c>
      <c r="AE8">
        <f>K8/$K$3</f>
        <v>0.92405543242514898</v>
      </c>
      <c r="AF8">
        <f>M8/$M$3</f>
        <v>0.99923455893020252</v>
      </c>
      <c r="AG8">
        <f>U8/$U$3</f>
        <v>0.92228817248146344</v>
      </c>
      <c r="AH8">
        <f>Y8/$Y$3</f>
        <v>1.0842598114529094</v>
      </c>
    </row>
    <row r="9" spans="1:34" x14ac:dyDescent="0.25">
      <c r="E9">
        <f>(1/Gam*(1/M_1^2-1/G9^2)+(Gam+1)/2/Gam*LN((M_1^2/G9^2)*(1+G9^2*(Gam-1)/2)/(1+M_1^2*(Gam-1)/2)))*D/f</f>
        <v>82.389736329021872</v>
      </c>
      <c r="F9">
        <f>E9/3.28</f>
        <v>25.118822051531058</v>
      </c>
      <c r="G9">
        <f>G8+0.0025</f>
        <v>0.16262323347790816</v>
      </c>
      <c r="H9">
        <f>(Gam/Z/Rg)^0.5*G9*(1+G9^2*(Gam-1)/2)^(-(Gam+1)/2/(Gam-1))</f>
        <v>2.5929494787801152E-2</v>
      </c>
      <c r="I9">
        <f>K9/(1+(Gam-1)/2*G9^2)^(Gam/(Gam-1))</f>
        <v>357.45409921389046</v>
      </c>
      <c r="J9" s="21">
        <f>I9*6.89476</f>
        <v>2464.5602250959632</v>
      </c>
      <c r="K9">
        <f>mdot*Q9^0.5/A/H9/gc^0.5/144</f>
        <v>364.1153069288319</v>
      </c>
      <c r="L9" s="21">
        <f>K9*6.89476</f>
        <v>2510.4876536006332</v>
      </c>
      <c r="M9">
        <f>Q9/(1+(Gam-1)/2*G9^2)</f>
        <v>656.19918976493841</v>
      </c>
      <c r="N9">
        <f>M9/1.8</f>
        <v>364.5551054249658</v>
      </c>
      <c r="O9">
        <f>M9-'Example 7.3 - Pipe P1'!$C$8</f>
        <v>196.52918976493839</v>
      </c>
      <c r="P9">
        <f>N9-'Example 7.3 - Pipe P1'!$C$9</f>
        <v>91.405105424965825</v>
      </c>
      <c r="Q9">
        <f>Q8</f>
        <v>659.67000000000007</v>
      </c>
      <c r="R9">
        <f>R8</f>
        <v>366.48333333333335</v>
      </c>
      <c r="S9">
        <f>Q9-'Example 7.3 - Pipe P1'!$C$8</f>
        <v>200.00000000000006</v>
      </c>
      <c r="T9">
        <f>R9-'Example 7.3 - Pipe P1'!$C$9</f>
        <v>93.333333333333371</v>
      </c>
      <c r="U9">
        <f>I9/M9/Rg/Z*144</f>
        <v>1.4702400183878945</v>
      </c>
      <c r="V9">
        <f>U9*16.01846</f>
        <v>23.550980924945755</v>
      </c>
      <c r="W9">
        <f>(Gam*I9/U9*gc*144)^0.5</f>
        <v>1255.7807277693796</v>
      </c>
      <c r="X9">
        <f>W9/3.28</f>
        <v>382.85997797846943</v>
      </c>
      <c r="Y9">
        <f>G9*W9</f>
        <v>204.21912248909726</v>
      </c>
      <c r="Z9">
        <f>Y9/3.28</f>
        <v>62.261927588139415</v>
      </c>
      <c r="AB9">
        <f>E9/$E$122</f>
        <v>0.54924726693564885</v>
      </c>
      <c r="AC9">
        <f>G9</f>
        <v>0.16262323347790816</v>
      </c>
      <c r="AD9">
        <f>I9/$I$3</f>
        <v>0.90734193740164515</v>
      </c>
      <c r="AE9">
        <f>K9/$K$3</f>
        <v>0.91028826732207979</v>
      </c>
      <c r="AF9">
        <f>M9/$M$3</f>
        <v>0.99907415762315777</v>
      </c>
      <c r="AG9">
        <f>U9/$U$3</f>
        <v>0.90818277149741533</v>
      </c>
      <c r="AH9">
        <f>Y9/$Y$3</f>
        <v>1.1010999452799526</v>
      </c>
    </row>
    <row r="10" spans="1:34" x14ac:dyDescent="0.25">
      <c r="E10">
        <f>(1/Gam*(1/M_1^2-1/G10^2)+(Gam+1)/2/Gam*LN((M_1^2/G10^2)*(1+G10^2*(Gam-1)/2)/(1+M_1^2*(Gam-1)/2)))*D/f</f>
        <v>93.943205798490609</v>
      </c>
      <c r="F10">
        <f>E10/3.28</f>
        <v>28.641221280027626</v>
      </c>
      <c r="G10">
        <f>G9+0.0025</f>
        <v>0.16512323347790817</v>
      </c>
      <c r="H10">
        <f>(Gam/Z/Rg)^0.5*G10*(1+G10^2*(Gam-1)/2)^(-(Gam+1)/2/(Gam-1))</f>
        <v>2.6315236681078803E-2</v>
      </c>
      <c r="I10">
        <f>K10/(1+(Gam-1)/2*G10^2)^(Gam/(Gam-1))</f>
        <v>352.01348014886497</v>
      </c>
      <c r="J10" s="21">
        <f>I10*6.89476</f>
        <v>2427.048462391188</v>
      </c>
      <c r="K10">
        <f>mdot*Q10^0.5/A/H10/gc^0.5/144</f>
        <v>358.77792275219292</v>
      </c>
      <c r="L10" s="21">
        <f>K10*6.89476</f>
        <v>2473.6876706749094</v>
      </c>
      <c r="M10">
        <f>Q10/(1+(Gam-1)/2*G10^2)</f>
        <v>656.09223949631382</v>
      </c>
      <c r="N10">
        <f>M10/1.8</f>
        <v>364.49568860906322</v>
      </c>
      <c r="O10">
        <f>M10-'Example 7.3 - Pipe P1'!$C$8</f>
        <v>196.42223949631381</v>
      </c>
      <c r="P10">
        <f>N10-'Example 7.3 - Pipe P1'!$C$9</f>
        <v>91.345688609063245</v>
      </c>
      <c r="Q10">
        <f>Q9</f>
        <v>659.67000000000007</v>
      </c>
      <c r="R10">
        <f>R9</f>
        <v>366.48333333333335</v>
      </c>
      <c r="S10">
        <f>Q10-'Example 7.3 - Pipe P1'!$C$8</f>
        <v>200.00000000000006</v>
      </c>
      <c r="T10">
        <f>R10-'Example 7.3 - Pipe P1'!$C$9</f>
        <v>93.333333333333371</v>
      </c>
      <c r="U10">
        <f>I10/M10/Rg/Z*144</f>
        <v>1.448098293160097</v>
      </c>
      <c r="V10">
        <f>U10*16.01846</f>
        <v>23.196304585053287</v>
      </c>
      <c r="W10">
        <f>(Gam*I10/U10*gc*144)^0.5</f>
        <v>1255.6783872292201</v>
      </c>
      <c r="X10">
        <f>W10/3.28</f>
        <v>382.82877659427447</v>
      </c>
      <c r="Y10">
        <f>G10*W10</f>
        <v>207.3416755076137</v>
      </c>
      <c r="Z10">
        <f>Y10/3.28</f>
        <v>63.213925459638325</v>
      </c>
      <c r="AB10">
        <f>E10/$E$122</f>
        <v>0.62626792281429722</v>
      </c>
      <c r="AC10">
        <f>G10</f>
        <v>0.16512323347790817</v>
      </c>
      <c r="AD10">
        <f>I10/$I$3</f>
        <v>0.89353176749736696</v>
      </c>
      <c r="AE10">
        <f>K10/$K$3</f>
        <v>0.89694480688048228</v>
      </c>
      <c r="AF10">
        <f>M10/$M$3</f>
        <v>0.99891132406407956</v>
      </c>
      <c r="AG10">
        <f>U10/$U$3</f>
        <v>0.894505594212332</v>
      </c>
      <c r="AH10">
        <f>Y10/$Y$3</f>
        <v>1.1179359933244042</v>
      </c>
    </row>
    <row r="11" spans="1:34" x14ac:dyDescent="0.25">
      <c r="E11">
        <f>(1/Gam*(1/M_1^2-1/G11^2)+(Gam+1)/2/Gam*LN((M_1^2/G11^2)*(1+G11^2*(Gam-1)/2)/(1+M_1^2*(Gam-1)/2)))*D/f</f>
        <v>99.997899750043359</v>
      </c>
      <c r="F11">
        <f>E11/3.28</f>
        <v>30.487164557940051</v>
      </c>
      <c r="G11">
        <f>M_2</f>
        <v>0.16648136922389201</v>
      </c>
      <c r="H11">
        <f>(Gam/Z/Rg)^0.5*G11*(1+G11^2*(Gam-1)/2)^(-(Gam+1)/2/(Gam-1))</f>
        <v>2.6524549860562061E-2</v>
      </c>
      <c r="I11">
        <f>K11/(1+(Gam-1)/2*G11^2)^(Gam/(Gam-1))</f>
        <v>349.12615714998213</v>
      </c>
      <c r="J11" s="21">
        <f>I11*6.89476</f>
        <v>2407.1410632714105</v>
      </c>
      <c r="K11">
        <f>mdot*Q11^0.5/A/H11/gc^0.5/144</f>
        <v>355.94669854162419</v>
      </c>
      <c r="L11" s="21">
        <f>K11*6.89476</f>
        <v>2454.1670592368487</v>
      </c>
      <c r="M11">
        <f>Q11/(1+(Gam-1)/2*G11^2)</f>
        <v>656.03346919884279</v>
      </c>
      <c r="N11">
        <f>M11/1.8</f>
        <v>364.46303844380157</v>
      </c>
      <c r="O11">
        <f>M11-'Example 7.3 - Pipe P1'!$C$8</f>
        <v>196.36346919884278</v>
      </c>
      <c r="P11">
        <f>N11-'Example 7.3 - Pipe P1'!$C$9</f>
        <v>91.313038443801588</v>
      </c>
      <c r="Q11">
        <f>Q10</f>
        <v>659.67000000000007</v>
      </c>
      <c r="R11">
        <f>R10</f>
        <v>366.48333333333335</v>
      </c>
      <c r="S11">
        <f>Q11-'Example 7.3 - Pipe P1'!$C$8</f>
        <v>200.00000000000006</v>
      </c>
      <c r="T11">
        <f>R11-'Example 7.3 - Pipe P1'!$C$9</f>
        <v>93.333333333333371</v>
      </c>
      <c r="U11">
        <f>I11/M11/Rg/Z*144</f>
        <v>1.4363492076940292</v>
      </c>
      <c r="V11">
        <f>U11*16.01846</f>
        <v>23.008102329478501</v>
      </c>
      <c r="W11">
        <f>(Gam*I11/U11*gc*144)^0.5</f>
        <v>1255.6221464748087</v>
      </c>
      <c r="X11">
        <f>W11/3.28</f>
        <v>382.81163002280755</v>
      </c>
      <c r="Y11">
        <f>G11*W11</f>
        <v>209.03769417296843</v>
      </c>
      <c r="Z11">
        <f>Y11/3.28</f>
        <v>63.731004321026965</v>
      </c>
      <c r="AB11">
        <f>E11/$E$122</f>
        <v>0.6666312526803102</v>
      </c>
      <c r="AC11">
        <f>G11</f>
        <v>0.16648136922389201</v>
      </c>
      <c r="AD11">
        <f>I11/$I$3</f>
        <v>0.88620274469563631</v>
      </c>
      <c r="AE11">
        <f>K11/$K$3</f>
        <v>0.88986674635406049</v>
      </c>
      <c r="AF11">
        <f>M11/$M$3</f>
        <v>0.99882184531074525</v>
      </c>
      <c r="AG11">
        <f>U11/$U$3</f>
        <v>0.88724806015824387</v>
      </c>
      <c r="AH11">
        <f>Y11/$Y$3</f>
        <v>1.1270805143509088</v>
      </c>
    </row>
    <row r="12" spans="1:34" x14ac:dyDescent="0.25">
      <c r="B12" s="35">
        <f>2/144</f>
        <v>1.3888888888888888E-2</v>
      </c>
      <c r="C12" s="35"/>
      <c r="D12" s="36" t="s">
        <v>126</v>
      </c>
      <c r="E12" s="35">
        <v>100</v>
      </c>
      <c r="F12" s="35">
        <f>E12/3.28</f>
        <v>30.487804878048781</v>
      </c>
      <c r="G12" s="35">
        <v>1</v>
      </c>
      <c r="H12" s="35">
        <f>(Gam/Z/Rg)^0.5*G12*(1+G12^2*(Gam-1)/2)^(-(Gam+1)/2/(Gam-1))</f>
        <v>9.3743433770267531E-2</v>
      </c>
      <c r="I12" s="35">
        <f>K12/(1+(Gam-1)/2*G12^2)^(Gam/(Gam-1))</f>
        <v>188.04429758557248</v>
      </c>
      <c r="J12" s="37">
        <f>I12*6.89476</f>
        <v>1296.5203012211016</v>
      </c>
      <c r="K12" s="35">
        <f>mdot*Q12^0.5/B12/H12/gc^0.5/144</f>
        <v>355.95453403410841</v>
      </c>
      <c r="L12" s="37">
        <f>K12*6.89476</f>
        <v>2454.2210830770091</v>
      </c>
      <c r="M12" s="35">
        <f>Q12/(1+(Gam-1)/2*G12^2)</f>
        <v>549.72500000000014</v>
      </c>
      <c r="N12" s="35">
        <f>M12/1.8</f>
        <v>305.40277777777783</v>
      </c>
      <c r="O12" s="35">
        <f>M12-'Example 7.3 - Pipe P1'!$C$8</f>
        <v>90.055000000000121</v>
      </c>
      <c r="P12" s="35">
        <f>N12-'Example 7.3 - Pipe P1'!$C$9</f>
        <v>32.252777777777851</v>
      </c>
      <c r="Q12" s="35">
        <f>Q11</f>
        <v>659.67000000000007</v>
      </c>
      <c r="R12" s="35">
        <f>R11</f>
        <v>366.48333333333335</v>
      </c>
      <c r="S12" s="35">
        <f>Q12-'Example 7.3 - Pipe P1'!$C$8</f>
        <v>200.00000000000006</v>
      </c>
      <c r="T12" s="35">
        <f>R12-'Example 7.3 - Pipe P1'!$C$9</f>
        <v>93.333333333333371</v>
      </c>
      <c r="U12" s="35">
        <f>I12/M12/Rg/Z*144</f>
        <v>0.92324789829420151</v>
      </c>
      <c r="V12" s="35">
        <f>U12*16.01846</f>
        <v>14.789009528909736</v>
      </c>
      <c r="W12" s="35">
        <f>(Gam*I12/U12*gc*144)^0.5</f>
        <v>1149.3934364970639</v>
      </c>
      <c r="X12" s="35">
        <f>W12/3.28</f>
        <v>350.42482820032438</v>
      </c>
      <c r="Y12" s="35">
        <f>G12*W12</f>
        <v>1149.3934364970639</v>
      </c>
      <c r="Z12" s="35">
        <f>Y12/3.28</f>
        <v>350.42482820032438</v>
      </c>
      <c r="AA12" s="35"/>
      <c r="AB12">
        <f>E12/$E$122</f>
        <v>0.66664525389696616</v>
      </c>
      <c r="AC12" s="35">
        <f>G12</f>
        <v>1</v>
      </c>
      <c r="AD12" s="35">
        <f>I12/$I$3</f>
        <v>0.47732136143871817</v>
      </c>
      <c r="AE12" s="35">
        <f>K12/$K$3</f>
        <v>0.88988633508527104</v>
      </c>
      <c r="AF12" s="35">
        <f>M12/$M$3</f>
        <v>0.83696543651041233</v>
      </c>
      <c r="AG12" s="35">
        <f>U12/$U$3</f>
        <v>0.5702999677368159</v>
      </c>
      <c r="AH12" s="35">
        <f>Y12/$Y$3</f>
        <v>6.1972504563064152</v>
      </c>
    </row>
    <row r="13" spans="1:34" x14ac:dyDescent="0.25">
      <c r="A13" s="40" t="s">
        <v>127</v>
      </c>
      <c r="E13" s="38">
        <f>L</f>
        <v>100</v>
      </c>
      <c r="F13" s="38">
        <v>0</v>
      </c>
      <c r="G13" s="38">
        <v>0.43927482794292305</v>
      </c>
      <c r="H13" s="38">
        <v>6.3516330246209479E-2</v>
      </c>
      <c r="I13" s="38">
        <v>130.19355710627519</v>
      </c>
      <c r="J13" s="39">
        <v>897.65332979406196</v>
      </c>
      <c r="K13" s="38">
        <v>148.64407179338261</v>
      </c>
      <c r="L13" s="39">
        <v>1024.8652004381427</v>
      </c>
      <c r="M13" s="38">
        <v>635.15769269178725</v>
      </c>
      <c r="N13" s="38">
        <v>352.86538482877069</v>
      </c>
      <c r="O13" s="38">
        <v>175.48769269178723</v>
      </c>
      <c r="P13" s="38">
        <v>79.715384828770709</v>
      </c>
      <c r="Q13" s="38">
        <v>659.67000000000007</v>
      </c>
      <c r="R13" s="38">
        <v>366.48333333333335</v>
      </c>
      <c r="S13" s="38">
        <v>200.00000000000006</v>
      </c>
      <c r="T13" s="38">
        <v>93.333333333333371</v>
      </c>
      <c r="U13" s="38">
        <v>0.55323745906102084</v>
      </c>
      <c r="V13" s="38">
        <v>8.8620121084705996</v>
      </c>
      <c r="W13" s="38">
        <v>1235.4829318932782</v>
      </c>
      <c r="X13" s="38">
        <v>376.671625577219</v>
      </c>
      <c r="Y13" s="38">
        <v>542.71655233383785</v>
      </c>
      <c r="Z13" s="38">
        <v>165.462363516414</v>
      </c>
      <c r="AB13">
        <f>E13/$E$122</f>
        <v>0.66664525389696616</v>
      </c>
      <c r="AC13">
        <f>G13</f>
        <v>0.43927482794292305</v>
      </c>
      <c r="AD13">
        <f>I13/$I$3</f>
        <v>0.33047620548151485</v>
      </c>
      <c r="AE13">
        <f>K13/$K$3</f>
        <v>0.37161017948345654</v>
      </c>
      <c r="AF13">
        <f>M13/$M$3</f>
        <v>0.96703812909496178</v>
      </c>
      <c r="AG13">
        <f>U13/$U$3</f>
        <v>0.34174061553374646</v>
      </c>
      <c r="AH13">
        <f>Y13/$Y$3</f>
        <v>2.9261959350022031</v>
      </c>
    </row>
    <row r="14" spans="1:34" x14ac:dyDescent="0.25">
      <c r="A14" s="40" t="s">
        <v>127</v>
      </c>
      <c r="E14">
        <f>(1/Gam*(1/M_3^2-1/G14^2)+(Gam+1)/2/Gam*LN((M_3^2/G14^2)*(1+G14^2*(Gam-1)/2)/(1+M_3^2*(Gam-1)/2)))*D/f+L</f>
        <v>101.85041950395529</v>
      </c>
      <c r="F14">
        <f>E14/3.28</f>
        <v>31.05195716584003</v>
      </c>
      <c r="G14">
        <f>G13+0.01</f>
        <v>0.44927482794292306</v>
      </c>
      <c r="H14">
        <f>(Gam/Z/Rg)^0.5*G14*(1+G14^2*(Gam-1)/2)^(-(Gam+1)/2/(Gam-1))</f>
        <v>6.4629940195978203E-2</v>
      </c>
      <c r="I14">
        <f>K14/(1+(Gam-1)/2*G14^2)^(Gam/(Gam-1))</f>
        <v>127.18693101453869</v>
      </c>
      <c r="J14" s="21">
        <f>I14*6.89476</f>
        <v>876.92336448180072</v>
      </c>
      <c r="K14">
        <f>mdot*Q14^0.5/A/H14/gc^0.5/144</f>
        <v>146.08285145461545</v>
      </c>
      <c r="L14" s="21">
        <f>K14*6.89476</f>
        <v>1007.2062008952244</v>
      </c>
      <c r="M14">
        <f>Q14/(1+(Gam-1)/2*G14^2)</f>
        <v>634.07275294870419</v>
      </c>
      <c r="N14">
        <f>M14/1.8</f>
        <v>352.2626405270579</v>
      </c>
      <c r="O14">
        <f>M14-'Example 7.3 - Pipe P1'!$C$8</f>
        <v>174.40275294870418</v>
      </c>
      <c r="P14">
        <f>N14-'Example 7.3 - Pipe P1'!$C$9</f>
        <v>79.11264052705792</v>
      </c>
      <c r="Q14">
        <f>Q13</f>
        <v>659.67000000000007</v>
      </c>
      <c r="R14">
        <f>R13</f>
        <v>366.48333333333335</v>
      </c>
      <c r="S14">
        <f>Q14-'Example 7.3 - Pipe P1'!$C$8</f>
        <v>200.00000000000006</v>
      </c>
      <c r="T14">
        <f>R14-'Example 7.3 - Pipe P1'!$C$9</f>
        <v>93.333333333333371</v>
      </c>
      <c r="U14">
        <f>I14/M14/Rg/Z*144</f>
        <v>0.54138602917797041</v>
      </c>
      <c r="V14">
        <f>U14*16.01846</f>
        <v>8.672170452946153</v>
      </c>
      <c r="W14">
        <f>(Gam*I14/U14*gc*144)^0.5</f>
        <v>1234.4272905552962</v>
      </c>
      <c r="X14">
        <f>W14/3.28</f>
        <v>376.349783705883</v>
      </c>
      <c r="Y14">
        <f>G14*W14</f>
        <v>554.59710857227935</v>
      </c>
      <c r="Z14">
        <f>Y14/3.28</f>
        <v>169.0844843208169</v>
      </c>
      <c r="AB14">
        <f>E14/$E$122</f>
        <v>0.67898098769726789</v>
      </c>
      <c r="AC14">
        <f>G14</f>
        <v>0.44927482794292306</v>
      </c>
      <c r="AD14">
        <f>I14/$I$3</f>
        <v>0.32284435023319624</v>
      </c>
      <c r="AE14">
        <f>K14/$K$3</f>
        <v>0.36520712863653865</v>
      </c>
      <c r="AF14">
        <f>M14/$M$3</f>
        <v>0.96538629032892975</v>
      </c>
      <c r="AG14">
        <f>U14/$U$3</f>
        <v>0.33441986225347742</v>
      </c>
      <c r="AH14">
        <f>Y14/$Y$3</f>
        <v>2.9902530108754073</v>
      </c>
    </row>
    <row r="15" spans="1:34" x14ac:dyDescent="0.25">
      <c r="A15" s="40" t="s">
        <v>127</v>
      </c>
      <c r="E15">
        <f>(1/Gam*(1/M_3^2-1/G15^2)+(Gam+1)/2/Gam*LN((M_3^2/G15^2)*(1+G15^2*(Gam-1)/2)/(1+M_3^2*(Gam-1)/2)))*D/f+L</f>
        <v>103.55895962979002</v>
      </c>
      <c r="F15">
        <f>E15/3.28</f>
        <v>31.572853545667691</v>
      </c>
      <c r="G15">
        <f>G14+0.01</f>
        <v>0.45927482794292307</v>
      </c>
      <c r="H15">
        <f>(Gam/Z/Rg)^0.5*G15*(1+G15^2*(Gam-1)/2)^(-(Gam+1)/2/(Gam-1))</f>
        <v>6.5723501379520072E-2</v>
      </c>
      <c r="I15">
        <f>K15/(1+(Gam-1)/2*G15^2)^(Gam/(Gam-1))</f>
        <v>124.30912085360384</v>
      </c>
      <c r="J15" s="21">
        <f>I15*6.89476</f>
        <v>857.08155409659366</v>
      </c>
      <c r="K15">
        <f>mdot*Q15^0.5/A/H15/gc^0.5/144</f>
        <v>143.65220590806427</v>
      </c>
      <c r="L15" s="21">
        <f>K15*6.89476</f>
        <v>990.44748320668521</v>
      </c>
      <c r="M15">
        <f>Q15/(1+(Gam-1)/2*G15^2)</f>
        <v>632.96721860224329</v>
      </c>
      <c r="N15">
        <f>M15/1.8</f>
        <v>351.64845477902406</v>
      </c>
      <c r="O15">
        <f>M15-'Example 7.3 - Pipe P1'!$C$8</f>
        <v>173.29721860224328</v>
      </c>
      <c r="P15">
        <f>N15-'Example 7.3 - Pipe P1'!$C$9</f>
        <v>78.498454779024087</v>
      </c>
      <c r="Q15">
        <f>Q14</f>
        <v>659.67000000000007</v>
      </c>
      <c r="R15">
        <f>R14</f>
        <v>366.48333333333335</v>
      </c>
      <c r="S15">
        <f>Q15-'Example 7.3 - Pipe P1'!$C$8</f>
        <v>200.00000000000006</v>
      </c>
      <c r="T15">
        <f>R15-'Example 7.3 - Pipe P1'!$C$9</f>
        <v>93.333333333333371</v>
      </c>
      <c r="U15">
        <f>I15/M15/Rg/Z*144</f>
        <v>0.53006047832744929</v>
      </c>
      <c r="V15">
        <f>U15*16.01846</f>
        <v>8.4907525696691142</v>
      </c>
      <c r="W15">
        <f>(Gam*I15/U15*gc*144)^0.5</f>
        <v>1233.3506813370077</v>
      </c>
      <c r="X15">
        <f>W15/3.28</f>
        <v>376.02154918811215</v>
      </c>
      <c r="Y15">
        <f>G15*W15</f>
        <v>566.44692196434119</v>
      </c>
      <c r="Z15">
        <f>Y15/3.28</f>
        <v>172.69723230620158</v>
      </c>
      <c r="AB15">
        <f>E15/$E$122</f>
        <v>0.69037088935707036</v>
      </c>
      <c r="AC15">
        <f>G15</f>
        <v>0.45927482794292307</v>
      </c>
      <c r="AD15">
        <f>I15/$I$3</f>
        <v>0.31553947429908552</v>
      </c>
      <c r="AE15">
        <f>K15/$K$3</f>
        <v>0.35913051477016067</v>
      </c>
      <c r="AF15">
        <f>M15/$M$3</f>
        <v>0.96370309593743775</v>
      </c>
      <c r="AG15">
        <f>U15/$U$3</f>
        <v>0.32742395000002145</v>
      </c>
      <c r="AH15">
        <f>Y15/$Y$3</f>
        <v>3.0541443287821011</v>
      </c>
    </row>
    <row r="16" spans="1:34" x14ac:dyDescent="0.25">
      <c r="A16" s="40" t="s">
        <v>127</v>
      </c>
      <c r="E16">
        <f>(1/Gam*(1/M_3^2-1/G16^2)+(Gam+1)/2/Gam*LN((M_3^2/G16^2)*(1+G16^2*(Gam-1)/2)/(1+M_3^2*(Gam-1)/2)))*D/f+L</f>
        <v>105.13813456140295</v>
      </c>
      <c r="F16">
        <f>E16/3.28</f>
        <v>32.054309317500902</v>
      </c>
      <c r="G16">
        <f>G15+0.01</f>
        <v>0.46927482794292308</v>
      </c>
      <c r="H16">
        <f>(Gam/Z/Rg)^0.5*G16*(1+G16^2*(Gam-1)/2)^(-(Gam+1)/2/(Gam-1))</f>
        <v>6.6796811554813901E-2</v>
      </c>
      <c r="I16">
        <f>K16/(1+(Gam-1)/2*G16^2)^(Gam/(Gam-1))</f>
        <v>121.55190876861445</v>
      </c>
      <c r="J16" s="21">
        <f>I16*6.89476</f>
        <v>838.07123850149219</v>
      </c>
      <c r="K16">
        <f>mdot*Q16^0.5/A/H16/gc^0.5/144</f>
        <v>141.34396138687174</v>
      </c>
      <c r="L16" s="21">
        <f>K16*6.89476</f>
        <v>974.53269121174776</v>
      </c>
      <c r="M16">
        <f>Q16/(1+(Gam-1)/2*G16^2)</f>
        <v>631.84132425122766</v>
      </c>
      <c r="N16">
        <f>M16/1.8</f>
        <v>351.02295791734872</v>
      </c>
      <c r="O16">
        <f>M16-'Example 7.3 - Pipe P1'!$C$8</f>
        <v>172.17132425122765</v>
      </c>
      <c r="P16">
        <f>N16-'Example 7.3 - Pipe P1'!$C$9</f>
        <v>77.872957917348742</v>
      </c>
      <c r="Q16">
        <f>Q15</f>
        <v>659.67000000000007</v>
      </c>
      <c r="R16">
        <f>R15</f>
        <v>366.48333333333335</v>
      </c>
      <c r="S16">
        <f>Q16-'Example 7.3 - Pipe P1'!$C$8</f>
        <v>200.00000000000006</v>
      </c>
      <c r="T16">
        <f>R16-'Example 7.3 - Pipe P1'!$C$9</f>
        <v>93.333333333333371</v>
      </c>
      <c r="U16">
        <f>I16/M16/Rg/Z*144</f>
        <v>0.51922716285547377</v>
      </c>
      <c r="V16">
        <f>U16*16.01846</f>
        <v>8.3172195391138928</v>
      </c>
      <c r="W16">
        <f>(Gam*I16/U16*gc*144)^0.5</f>
        <v>1232.2532780441045</v>
      </c>
      <c r="X16">
        <f>W16/3.28</f>
        <v>375.6869750134465</v>
      </c>
      <c r="Y16">
        <f>G16*W16</f>
        <v>578.26544503625007</v>
      </c>
      <c r="Z16">
        <f>Y16/3.28</f>
        <v>176.30044055983234</v>
      </c>
      <c r="AB16">
        <f>E16/$E$122</f>
        <v>0.70089838408939864</v>
      </c>
      <c r="AC16">
        <f>G16</f>
        <v>0.46927482794292308</v>
      </c>
      <c r="AD16">
        <f>I16/$I$3</f>
        <v>0.30854071792582449</v>
      </c>
      <c r="AE16">
        <f>K16/$K$3</f>
        <v>0.35335990346717933</v>
      </c>
      <c r="AF16">
        <f>M16/$M$3</f>
        <v>0.96198890310108798</v>
      </c>
      <c r="AG16">
        <f>U16/$U$3</f>
        <v>0.32073209673334696</v>
      </c>
      <c r="AH16">
        <f>Y16/$Y$3</f>
        <v>3.1178669368765681</v>
      </c>
    </row>
    <row r="17" spans="1:34" x14ac:dyDescent="0.25">
      <c r="A17" s="40" t="s">
        <v>127</v>
      </c>
      <c r="E17">
        <f>(1/Gam*(1/M_3^2-1/G17^2)+(Gam+1)/2/Gam*LN((M_3^2/G17^2)*(1+G17^2*(Gam-1)/2)/(1+M_3^2*(Gam-1)/2)))*D/f+L</f>
        <v>106.59914492575665</v>
      </c>
      <c r="F17">
        <f>E17/3.28</f>
        <v>32.499739306633124</v>
      </c>
      <c r="G17">
        <f>G16+0.01</f>
        <v>0.47927482794292309</v>
      </c>
      <c r="H17">
        <f>(Gam/Z/Rg)^0.5*G17*(1+G17^2*(Gam-1)/2)^(-(Gam+1)/2/(Gam-1))</f>
        <v>6.7849681430199621E-2</v>
      </c>
      <c r="I17">
        <f>K17/(1+(Gam-1)/2*G17^2)^(Gam/(Gam-1))</f>
        <v>118.90776300467083</v>
      </c>
      <c r="J17" s="21">
        <f>I17*6.89476</f>
        <v>819.84048805408418</v>
      </c>
      <c r="K17">
        <f>mdot*Q17^0.5/A/H17/gc^0.5/144</f>
        <v>139.15063054323298</v>
      </c>
      <c r="L17" s="21">
        <f>K17*6.89476</f>
        <v>959.41020144426102</v>
      </c>
      <c r="M17">
        <f>Q17/(1+(Gam-1)/2*G17^2)</f>
        <v>630.69530751805087</v>
      </c>
      <c r="N17">
        <f>M17/1.8</f>
        <v>350.38628195447268</v>
      </c>
      <c r="O17">
        <f>M17-'Example 7.3 - Pipe P1'!$C$8</f>
        <v>171.02530751805085</v>
      </c>
      <c r="P17">
        <f>N17-'Example 7.3 - Pipe P1'!$C$9</f>
        <v>77.236281954472702</v>
      </c>
      <c r="Q17">
        <f>Q16</f>
        <v>659.67000000000007</v>
      </c>
      <c r="R17">
        <f>R16</f>
        <v>366.48333333333335</v>
      </c>
      <c r="S17">
        <f>Q17-'Example 7.3 - Pipe P1'!$C$8</f>
        <v>200.00000000000006</v>
      </c>
      <c r="T17">
        <f>R17-'Example 7.3 - Pipe P1'!$C$9</f>
        <v>93.333333333333371</v>
      </c>
      <c r="U17">
        <f>I17/M17/Rg/Z*144</f>
        <v>0.50885524655849512</v>
      </c>
      <c r="V17">
        <f>U17*16.01846</f>
        <v>8.1510774127873926</v>
      </c>
      <c r="W17">
        <f>(Gam*I17/U17*gc*144)^0.5</f>
        <v>1231.13525699349</v>
      </c>
      <c r="X17">
        <f>W17/3.28</f>
        <v>375.34611493703966</v>
      </c>
      <c r="Y17">
        <f>G17*W17</f>
        <v>590.0521384700213</v>
      </c>
      <c r="Z17">
        <f>Y17/3.28</f>
        <v>179.89394465549432</v>
      </c>
      <c r="AB17">
        <f>E17/$E$122</f>
        <v>0.71063814034230532</v>
      </c>
      <c r="AC17">
        <f>G17</f>
        <v>0.47927482794292309</v>
      </c>
      <c r="AD17">
        <f>I17/$I$3</f>
        <v>0.30182896291866373</v>
      </c>
      <c r="AE17">
        <f>K17/$K$3</f>
        <v>0.34787657635808245</v>
      </c>
      <c r="AF17">
        <f>M17/$M$3</f>
        <v>0.96024407360391839</v>
      </c>
      <c r="AG17">
        <f>U17/$U$3</f>
        <v>0.3143252546051768</v>
      </c>
      <c r="AH17">
        <f>Y17/$Y$3</f>
        <v>3.1814179272871255</v>
      </c>
    </row>
    <row r="18" spans="1:34" x14ac:dyDescent="0.25">
      <c r="A18" s="40" t="s">
        <v>127</v>
      </c>
      <c r="E18">
        <f>(1/Gam*(1/M_3^2-1/G18^2)+(Gam+1)/2/Gam*LN((M_3^2/G18^2)*(1+G18^2*(Gam-1)/2)/(1+M_3^2*(Gam-1)/2)))*D/f+L</f>
        <v>107.95203852042317</v>
      </c>
      <c r="F18">
        <f>E18/3.28</f>
        <v>32.912206865982675</v>
      </c>
      <c r="G18">
        <f>G17+0.01</f>
        <v>0.4892748279429231</v>
      </c>
      <c r="H18">
        <f>(Gam/Z/Rg)^0.5*G18*(1+G18^2*(Gam-1)/2)^(-(Gam+1)/2/(Gam-1))</f>
        <v>6.8881934648259466E-2</v>
      </c>
      <c r="I18">
        <f>K18/(1+(Gam-1)/2*G18^2)^(Gam/(Gam-1))</f>
        <v>116.36976778587366</v>
      </c>
      <c r="J18" s="21">
        <f>I18*6.89476</f>
        <v>802.3416201393303</v>
      </c>
      <c r="K18">
        <f>mdot*Q18^0.5/A/H18/gc^0.5/144</f>
        <v>137.06534233367864</v>
      </c>
      <c r="L18" s="21">
        <f>K18*6.89476</f>
        <v>945.03263970855414</v>
      </c>
      <c r="M18">
        <f>Q18/(1+(Gam-1)/2*G18^2)</f>
        <v>629.52940893117784</v>
      </c>
      <c r="N18">
        <f>M18/1.8</f>
        <v>349.73856051732099</v>
      </c>
      <c r="O18">
        <f>M18-'Example 7.3 - Pipe P1'!$C$8</f>
        <v>169.85940893117782</v>
      </c>
      <c r="P18">
        <f>N18-'Example 7.3 - Pipe P1'!$C$9</f>
        <v>76.588560517321014</v>
      </c>
      <c r="Q18">
        <f>Q17</f>
        <v>659.67000000000007</v>
      </c>
      <c r="R18">
        <f>R17</f>
        <v>366.48333333333335</v>
      </c>
      <c r="S18">
        <f>Q18-'Example 7.3 - Pipe P1'!$C$8</f>
        <v>200.00000000000006</v>
      </c>
      <c r="T18">
        <f>R18-'Example 7.3 - Pipe P1'!$C$9</f>
        <v>93.333333333333371</v>
      </c>
      <c r="U18">
        <f>I18/M18/Rg/Z*144</f>
        <v>0.49891641379062207</v>
      </c>
      <c r="V18">
        <f>U18*16.01846</f>
        <v>7.9918726176485286</v>
      </c>
      <c r="W18">
        <f>(Gam*I18/U18*gc*144)^0.5</f>
        <v>1229.9967969393726</v>
      </c>
      <c r="X18">
        <f>W18/3.28</f>
        <v>374.99902345712582</v>
      </c>
      <c r="Y18">
        <f>G18*W18</f>
        <v>601.80647119285811</v>
      </c>
      <c r="Z18">
        <f>Y18/3.28</f>
        <v>183.47758268074944</v>
      </c>
      <c r="AB18">
        <f>E18/$E$122</f>
        <v>0.71965714128142577</v>
      </c>
      <c r="AC18">
        <f>G18</f>
        <v>0.4892748279429231</v>
      </c>
      <c r="AD18">
        <f>I18/$I$3</f>
        <v>0.29538665465026259</v>
      </c>
      <c r="AE18">
        <f>K18/$K$3</f>
        <v>0.3426633558341966</v>
      </c>
      <c r="AF18">
        <f>M18/$M$3</f>
        <v>0.958468973654509</v>
      </c>
      <c r="AG18">
        <f>U18/$U$3</f>
        <v>0.30818593274229245</v>
      </c>
      <c r="AH18">
        <f>Y18/$Y$3</f>
        <v>3.2447944365981427</v>
      </c>
    </row>
    <row r="19" spans="1:34" x14ac:dyDescent="0.25">
      <c r="A19" s="40" t="s">
        <v>127</v>
      </c>
      <c r="E19">
        <f>(1/Gam*(1/M_3^2-1/G19^2)+(Gam+1)/2/Gam*LN((M_3^2/G19^2)*(1+G19^2*(Gam-1)/2)/(1+M_3^2*(Gam-1)/2)))*D/f+L</f>
        <v>109.20584863068814</v>
      </c>
      <c r="F19">
        <f>E19/3.28</f>
        <v>33.294466045941505</v>
      </c>
      <c r="G19">
        <f>G18+0.01</f>
        <v>0.49927482794292311</v>
      </c>
      <c r="H19">
        <f>(Gam/Z/Rg)^0.5*G19*(1+G19^2*(Gam-1)/2)^(-(Gam+1)/2/(Gam-1))</f>
        <v>6.9893407756648582E-2</v>
      </c>
      <c r="I19">
        <f>K19/(1+(Gam-1)/2*G19^2)^(Gam/(Gam-1))</f>
        <v>113.93156162106365</v>
      </c>
      <c r="J19" s="21">
        <f>I19*6.89476</f>
        <v>785.53077380244474</v>
      </c>
      <c r="K19">
        <f>mdot*Q19^0.5/A/H19/gc^0.5/144</f>
        <v>135.08178033101643</v>
      </c>
      <c r="L19" s="21">
        <f>K19*6.89476</f>
        <v>931.35645575507885</v>
      </c>
      <c r="M19">
        <f>Q19/(1+(Gam-1)/2*G19^2)</f>
        <v>628.34387180724639</v>
      </c>
      <c r="N19">
        <f>M19/1.8</f>
        <v>349.07992878180352</v>
      </c>
      <c r="O19">
        <f>M19-'Example 7.3 - Pipe P1'!$C$8</f>
        <v>168.67387180724637</v>
      </c>
      <c r="P19">
        <f>N19-'Example 7.3 - Pipe P1'!$C$9</f>
        <v>75.92992878180354</v>
      </c>
      <c r="Q19">
        <f>Q18</f>
        <v>659.67000000000007</v>
      </c>
      <c r="R19">
        <f>R18</f>
        <v>366.48333333333335</v>
      </c>
      <c r="S19">
        <f>Q19-'Example 7.3 - Pipe P1'!$C$8</f>
        <v>200.00000000000006</v>
      </c>
      <c r="T19">
        <f>R19-'Example 7.3 - Pipe P1'!$C$9</f>
        <v>93.333333333333371</v>
      </c>
      <c r="U19">
        <f>I19/M19/Rg/Z*144</f>
        <v>0.48938461704804315</v>
      </c>
      <c r="V19">
        <f>U19*16.01846</f>
        <v>7.8391879127993978</v>
      </c>
      <c r="W19">
        <f>(Gam*I19/U19*gc*144)^0.5</f>
        <v>1228.8380789989278</v>
      </c>
      <c r="X19">
        <f>W19/3.28</f>
        <v>374.64575579235606</v>
      </c>
      <c r="Y19">
        <f>G19*W19</f>
        <v>613.52792046190189</v>
      </c>
      <c r="Z19">
        <f>Y19/3.28</f>
        <v>187.05119526277497</v>
      </c>
      <c r="AB19">
        <f>E19/$E$122</f>
        <v>0.72801560687438749</v>
      </c>
      <c r="AC19">
        <f>G19</f>
        <v>0.49927482794292311</v>
      </c>
      <c r="AD19">
        <f>I19/$I$3</f>
        <v>0.28919764545935223</v>
      </c>
      <c r="AE19">
        <f>K19/$K$3</f>
        <v>0.33770445082754108</v>
      </c>
      <c r="AF19">
        <f>M19/$M$3</f>
        <v>0.95666397370647938</v>
      </c>
      <c r="AG19">
        <f>U19/$U$3</f>
        <v>0.30229804132676885</v>
      </c>
      <c r="AH19">
        <f>Y19/$Y$3</f>
        <v>3.307993646306993</v>
      </c>
    </row>
    <row r="20" spans="1:34" x14ac:dyDescent="0.25">
      <c r="A20" s="40" t="s">
        <v>127</v>
      </c>
      <c r="E20">
        <f>(1/Gam*(1/M_3^2-1/G20^2)+(Gam+1)/2/Gam*LN((M_3^2/G20^2)*(1+G20^2*(Gam-1)/2)/(1+M_3^2*(Gam-1)/2)))*D/f+L</f>
        <v>110.36871343167137</v>
      </c>
      <c r="F20">
        <f>E20/3.28</f>
        <v>33.648997997460782</v>
      </c>
      <c r="G20">
        <f>G19+0.01</f>
        <v>0.50927482794292311</v>
      </c>
      <c r="H20">
        <f>(Gam/Z/Rg)^0.5*G20*(1+G20^2*(Gam-1)/2)^(-(Gam+1)/2/(Gam-1))</f>
        <v>7.0883950166125156E-2</v>
      </c>
      <c r="I20">
        <f>K20/(1+(Gam-1)/2*G20^2)^(Gam/(Gam-1))</f>
        <v>111.58728287801007</v>
      </c>
      <c r="J20" s="21">
        <f>I20*6.89476</f>
        <v>769.36753449598871</v>
      </c>
      <c r="K20">
        <f>mdot*Q20^0.5/A/H20/gc^0.5/144</f>
        <v>133.19412830468488</v>
      </c>
      <c r="L20" s="21">
        <f>K20*6.89476</f>
        <v>918.34154807000914</v>
      </c>
      <c r="M20">
        <f>Q20/(1+(Gam-1)/2*G20^2)</f>
        <v>627.13894213286619</v>
      </c>
      <c r="N20">
        <f>M20/1.8</f>
        <v>348.41052340714788</v>
      </c>
      <c r="O20">
        <f>M20-'Example 7.3 - Pipe P1'!$C$8</f>
        <v>167.46894213286618</v>
      </c>
      <c r="P20">
        <f>N20-'Example 7.3 - Pipe P1'!$C$9</f>
        <v>75.2605234071479</v>
      </c>
      <c r="Q20">
        <f>Q19</f>
        <v>659.67000000000007</v>
      </c>
      <c r="R20">
        <f>R19</f>
        <v>366.48333333333335</v>
      </c>
      <c r="S20">
        <f>Q20-'Example 7.3 - Pipe P1'!$C$8</f>
        <v>200.00000000000006</v>
      </c>
      <c r="T20">
        <f>R20-'Example 7.3 - Pipe P1'!$C$9</f>
        <v>93.333333333333371</v>
      </c>
      <c r="U20">
        <f>I20/M20/Rg/Z*144</f>
        <v>0.48023585429174681</v>
      </c>
      <c r="V20">
        <f>U20*16.01846</f>
        <v>7.692638822538175</v>
      </c>
      <c r="W20">
        <f>(Gam*I20/U20*gc*144)^0.5</f>
        <v>1227.659286577582</v>
      </c>
      <c r="X20">
        <f>W20/3.28</f>
        <v>374.28636785901892</v>
      </c>
      <c r="Y20">
        <f>G20*W20</f>
        <v>625.21597194432979</v>
      </c>
      <c r="Z20">
        <f>Y20/3.28</f>
        <v>190.61462559278348</v>
      </c>
      <c r="AB20">
        <f>E20/$E$122</f>
        <v>0.73576778987938063</v>
      </c>
      <c r="AC20">
        <f>G20</f>
        <v>0.50927482794292311</v>
      </c>
      <c r="AD20">
        <f>I20/$I$3</f>
        <v>0.28324705649923249</v>
      </c>
      <c r="AE20">
        <f>K20/$K$3</f>
        <v>0.33298532076171222</v>
      </c>
      <c r="AF20">
        <f>M20/$M$3</f>
        <v>0.95482944827852545</v>
      </c>
      <c r="AG20">
        <f>U20/$U$3</f>
        <v>0.29664675404586893</v>
      </c>
      <c r="AH20">
        <f>Y20/$Y$3</f>
        <v>3.3710127832559222</v>
      </c>
    </row>
    <row r="21" spans="1:34" x14ac:dyDescent="0.25">
      <c r="A21" s="40" t="s">
        <v>127</v>
      </c>
      <c r="E21">
        <f>(1/Gam*(1/M_3^2-1/G21^2)+(Gam+1)/2/Gam*LN((M_3^2/G21^2)*(1+G21^2*(Gam-1)/2)/(1+M_3^2*(Gam-1)/2)))*D/f+L</f>
        <v>111.4479793698696</v>
      </c>
      <c r="F21">
        <f>E21/3.28</f>
        <v>33.978042490813905</v>
      </c>
      <c r="G21">
        <f>G20+0.01</f>
        <v>0.51927482794292312</v>
      </c>
      <c r="H21">
        <f>(Gam/Z/Rg)^0.5*G21*(1+G21^2*(Gam-1)/2)^(-(Gam+1)/2/(Gam-1))</f>
        <v>7.1853424096046822E-2</v>
      </c>
      <c r="I21">
        <f>K21/(1+(Gam-1)/2*G21^2)^(Gam/(Gam-1))</f>
        <v>109.33152164624246</v>
      </c>
      <c r="J21" s="21">
        <f>I21*6.89476</f>
        <v>753.81460218564666</v>
      </c>
      <c r="K21">
        <f>mdot*Q21^0.5/A/H21/gc^0.5/144</f>
        <v>131.39702208971278</v>
      </c>
      <c r="L21" s="21">
        <f>K21*6.89476</f>
        <v>905.95093202326802</v>
      </c>
      <c r="M21">
        <f>Q21/(1+(Gam-1)/2*G21^2)</f>
        <v>625.91486844621625</v>
      </c>
      <c r="N21">
        <f>M21/1.8</f>
        <v>347.73048247012014</v>
      </c>
      <c r="O21">
        <f>M21-'Example 7.3 - Pipe P1'!$C$8</f>
        <v>166.24486844621623</v>
      </c>
      <c r="P21">
        <f>N21-'Example 7.3 - Pipe P1'!$C$9</f>
        <v>74.58048247012016</v>
      </c>
      <c r="Q21">
        <f>Q20</f>
        <v>659.67000000000007</v>
      </c>
      <c r="R21">
        <f>R20</f>
        <v>366.48333333333335</v>
      </c>
      <c r="S21">
        <f>Q21-'Example 7.3 - Pipe P1'!$C$8</f>
        <v>200.00000000000006</v>
      </c>
      <c r="T21">
        <f>R21-'Example 7.3 - Pipe P1'!$C$9</f>
        <v>93.333333333333371</v>
      </c>
      <c r="U21">
        <f>I21/M21/Rg/Z*144</f>
        <v>0.47144797199971278</v>
      </c>
      <c r="V21">
        <f>U21*16.01846</f>
        <v>7.5518704815585194</v>
      </c>
      <c r="W21">
        <f>(Gam*I21/U21*gc*144)^0.5</f>
        <v>1226.4606052939723</v>
      </c>
      <c r="X21">
        <f>W21/3.28</f>
        <v>373.92091624816231</v>
      </c>
      <c r="Y21">
        <f>G21*W21</f>
        <v>636.87011979280078</v>
      </c>
      <c r="Z21">
        <f>Y21/3.28</f>
        <v>194.16771944902464</v>
      </c>
      <c r="AB21">
        <f>E21/$E$122</f>
        <v>0.74296266503330566</v>
      </c>
      <c r="AC21">
        <f>G21</f>
        <v>0.51927482794292312</v>
      </c>
      <c r="AD21">
        <f>I21/$I$3</f>
        <v>0.27752115554901613</v>
      </c>
      <c r="AE21">
        <f>K21/$K$3</f>
        <v>0.32849255522428195</v>
      </c>
      <c r="AF21">
        <f>M21/$M$3</f>
        <v>0.95296577577414987</v>
      </c>
      <c r="AG21">
        <f>U21/$U$3</f>
        <v>0.29121838643530445</v>
      </c>
      <c r="AH21">
        <f>Y21/$Y$3</f>
        <v>3.4338491200388352</v>
      </c>
    </row>
    <row r="22" spans="1:34" x14ac:dyDescent="0.25">
      <c r="A22" s="40" t="s">
        <v>127</v>
      </c>
      <c r="E22">
        <f>(1/Gam*(1/M_3^2-1/G22^2)+(Gam+1)/2/Gam*LN((M_3^2/G22^2)*(1+G22^2*(Gam-1)/2)/(1+M_3^2*(Gam-1)/2)))*D/f+L</f>
        <v>112.45029093009315</v>
      </c>
      <c r="F22">
        <f>E22/3.28</f>
        <v>34.283625283564987</v>
      </c>
      <c r="G22">
        <f>G21+0.01</f>
        <v>0.52927482794292313</v>
      </c>
      <c r="H22">
        <f>(Gam/Z/Rg)^0.5*G22*(1+G22^2*(Gam-1)/2)^(-(Gam+1)/2/(Gam-1))</f>
        <v>7.2801704507617096E-2</v>
      </c>
      <c r="I22">
        <f>K22/(1+(Gam-1)/2*G22^2)^(Gam/(Gam-1))</f>
        <v>107.15927705681526</v>
      </c>
      <c r="J22" s="21">
        <f>I22*6.89476</f>
        <v>738.83749708024754</v>
      </c>
      <c r="K22">
        <f>mdot*Q22^0.5/A/H22/gc^0.5/144</f>
        <v>129.68550691257423</v>
      </c>
      <c r="L22" s="21">
        <f>K22*6.89476</f>
        <v>894.15044564054028</v>
      </c>
      <c r="M22">
        <f>Q22/(1+(Gam-1)/2*G22^2)</f>
        <v>624.67190171853554</v>
      </c>
      <c r="N22">
        <f>M22/1.8</f>
        <v>347.03994539918642</v>
      </c>
      <c r="O22">
        <f>M22-'Example 7.3 - Pipe P1'!$C$8</f>
        <v>165.00190171853552</v>
      </c>
      <c r="P22">
        <f>N22-'Example 7.3 - Pipe P1'!$C$9</f>
        <v>73.889945399186445</v>
      </c>
      <c r="Q22">
        <f>Q21</f>
        <v>659.67000000000007</v>
      </c>
      <c r="R22">
        <f>R21</f>
        <v>366.48333333333335</v>
      </c>
      <c r="S22">
        <f>Q22-'Example 7.3 - Pipe P1'!$C$8</f>
        <v>200.00000000000006</v>
      </c>
      <c r="T22">
        <f>R22-'Example 7.3 - Pipe P1'!$C$9</f>
        <v>93.333333333333371</v>
      </c>
      <c r="U22">
        <f>I22/M22/Rg/Z*144</f>
        <v>0.4630004905456801</v>
      </c>
      <c r="V22">
        <f>U22*16.01846</f>
        <v>7.4165548377863555</v>
      </c>
      <c r="W22">
        <f>(Gam*I22/U22*gc*144)^0.5</f>
        <v>1225.2422229046394</v>
      </c>
      <c r="X22">
        <f>W22/3.28</f>
        <v>373.54945820263401</v>
      </c>
      <c r="Y22">
        <f>G22*W22</f>
        <v>648.48986671625767</v>
      </c>
      <c r="Z22">
        <f>Y22/3.28</f>
        <v>197.71032521837125</v>
      </c>
      <c r="AB22">
        <f>E22/$E$122</f>
        <v>0.74964452747879662</v>
      </c>
      <c r="AC22">
        <f>G22</f>
        <v>0.52927482794292313</v>
      </c>
      <c r="AD22">
        <f>I22/$I$3</f>
        <v>0.27200724867645359</v>
      </c>
      <c r="AE22">
        <f>K22/$K$3</f>
        <v>0.32421376728143558</v>
      </c>
      <c r="AF22">
        <f>M22/$M$3</f>
        <v>0.95107333830122942</v>
      </c>
      <c r="AG22">
        <f>U22/$U$3</f>
        <v>0.28600028801385863</v>
      </c>
      <c r="AH22">
        <f>Y22/$Y$3</f>
        <v>3.4964999753830419</v>
      </c>
    </row>
    <row r="23" spans="1:34" x14ac:dyDescent="0.25">
      <c r="A23" s="40" t="s">
        <v>127</v>
      </c>
      <c r="E23">
        <f>(1/Gam*(1/M_3^2-1/G23^2)+(Gam+1)/2/Gam*LN((M_3^2/G23^2)*(1+G23^2*(Gam-1)/2)/(1+M_3^2*(Gam-1)/2)))*D/f+L</f>
        <v>113.38166879517588</v>
      </c>
      <c r="F23">
        <f>E23/3.28</f>
        <v>34.56758194974875</v>
      </c>
      <c r="G23">
        <f>G22+0.01</f>
        <v>0.53927482794292314</v>
      </c>
      <c r="H23">
        <f>(Gam/Z/Rg)^0.5*G23*(1+G23^2*(Gam-1)/2)^(-(Gam+1)/2/(Gam-1))</f>
        <v>7.3728679025178143E-2</v>
      </c>
      <c r="I23">
        <f>K23/(1+(Gam-1)/2*G23^2)^(Gam/(Gam-1))</f>
        <v>105.06591935068025</v>
      </c>
      <c r="J23" s="21">
        <f>I23*6.89476</f>
        <v>724.40429810229614</v>
      </c>
      <c r="K23">
        <f>mdot*Q23^0.5/A/H23/gc^0.5/144</f>
        <v>128.05499946561605</v>
      </c>
      <c r="L23" s="21">
        <f>K23*6.89476</f>
        <v>882.90848811555088</v>
      </c>
      <c r="M23">
        <f>Q23/(1+(Gam-1)/2*G23^2)</f>
        <v>623.41029523560178</v>
      </c>
      <c r="N23">
        <f>M23/1.8</f>
        <v>346.33905290866767</v>
      </c>
      <c r="O23">
        <f>M23-'Example 7.3 - Pipe P1'!$C$8</f>
        <v>163.74029523560176</v>
      </c>
      <c r="P23">
        <f>N23-'Example 7.3 - Pipe P1'!$C$9</f>
        <v>73.189052908667691</v>
      </c>
      <c r="Q23">
        <f>Q22</f>
        <v>659.67000000000007</v>
      </c>
      <c r="R23">
        <f>R22</f>
        <v>366.48333333333335</v>
      </c>
      <c r="S23">
        <f>Q23-'Example 7.3 - Pipe P1'!$C$8</f>
        <v>200.00000000000006</v>
      </c>
      <c r="T23">
        <f>R23-'Example 7.3 - Pipe P1'!$C$9</f>
        <v>93.333333333333371</v>
      </c>
      <c r="U23">
        <f>I23/M23/Rg/Z*144</f>
        <v>0.45487444900641566</v>
      </c>
      <c r="V23">
        <f>U23*16.01846</f>
        <v>7.2863881664313093</v>
      </c>
      <c r="W23">
        <f>(Gam*I23/U23*gc*144)^0.5</f>
        <v>1224.0043292285081</v>
      </c>
      <c r="X23">
        <f>W23/3.28</f>
        <v>373.17205159405739</v>
      </c>
      <c r="Y23">
        <f>G23*W23</f>
        <v>660.07472404609678</v>
      </c>
      <c r="Z23">
        <f>Y23/3.28</f>
        <v>201.24229391649294</v>
      </c>
      <c r="AB23">
        <f>E23/$E$122</f>
        <v>0.75585351381221755</v>
      </c>
      <c r="AC23">
        <f>G23</f>
        <v>0.53927482794292314</v>
      </c>
      <c r="AD23">
        <f>I23/$I$3</f>
        <v>0.26669358395436388</v>
      </c>
      <c r="AE23">
        <f>K23/$K$3</f>
        <v>0.32013749866404012</v>
      </c>
      <c r="AF23">
        <f>M23/$M$3</f>
        <v>0.94915252149156459</v>
      </c>
      <c r="AG23">
        <f>U23/$U$3</f>
        <v>0.28098074641919824</v>
      </c>
      <c r="AH23">
        <f>Y23/$Y$3</f>
        <v>3.5589627145060296</v>
      </c>
    </row>
    <row r="24" spans="1:34" x14ac:dyDescent="0.25">
      <c r="A24" s="40" t="s">
        <v>127</v>
      </c>
      <c r="E24">
        <f>(1/Gam*(1/M_3^2-1/G24^2)+(Gam+1)/2/Gam*LN((M_3^2/G24^2)*(1+G24^2*(Gam-1)/2)/(1+M_3^2*(Gam-1)/2)))*D/f+L</f>
        <v>114.24757807924503</v>
      </c>
      <c r="F24">
        <f>E24/3.28</f>
        <v>34.831578682696659</v>
      </c>
      <c r="G24">
        <f>G23+0.01</f>
        <v>0.54927482794292315</v>
      </c>
      <c r="H24">
        <f>(Gam/Z/Rg)^0.5*G24*(1+G24^2*(Gam-1)/2)^(-(Gam+1)/2/(Gam-1))</f>
        <v>7.4634247845863838E-2</v>
      </c>
      <c r="I24">
        <f>K24/(1+(Gam-1)/2*G24^2)^(Gam/(Gam-1))</f>
        <v>103.04715609050396</v>
      </c>
      <c r="J24" s="21">
        <f>I24*6.89476</f>
        <v>710.48540992656308</v>
      </c>
      <c r="K24">
        <f>mdot*Q24^0.5/A/H24/gc^0.5/144</f>
        <v>126.5012541248916</v>
      </c>
      <c r="L24" s="21">
        <f>K24*6.89476</f>
        <v>872.19578689013758</v>
      </c>
      <c r="M24">
        <f>Q24/(1+(Gam-1)/2*G24^2)</f>
        <v>622.13030447929577</v>
      </c>
      <c r="N24">
        <f>M24/1.8</f>
        <v>345.62794693294211</v>
      </c>
      <c r="O24">
        <f>M24-'Example 7.3 - Pipe P1'!$C$8</f>
        <v>162.46030447929576</v>
      </c>
      <c r="P24">
        <f>N24-'Example 7.3 - Pipe P1'!$C$9</f>
        <v>72.477946932942132</v>
      </c>
      <c r="Q24">
        <f>Q23</f>
        <v>659.67000000000007</v>
      </c>
      <c r="R24">
        <f>R23</f>
        <v>366.48333333333335</v>
      </c>
      <c r="S24">
        <f>Q24-'Example 7.3 - Pipe P1'!$C$8</f>
        <v>200.00000000000006</v>
      </c>
      <c r="T24">
        <f>R24-'Example 7.3 - Pipe P1'!$C$9</f>
        <v>93.333333333333371</v>
      </c>
      <c r="U24">
        <f>I24/M24/Rg/Z*144</f>
        <v>0.44705226692149214</v>
      </c>
      <c r="V24">
        <f>U24*16.01846</f>
        <v>7.1610888555912453</v>
      </c>
      <c r="W24">
        <f>(Gam*I24/U24*gc*144)^0.5</f>
        <v>1222.7471160712075</v>
      </c>
      <c r="X24">
        <f>W24/3.28</f>
        <v>372.78875489975843</v>
      </c>
      <c r="Y24">
        <f>G24*W24</f>
        <v>671.62421179771798</v>
      </c>
      <c r="Z24">
        <f>Y24/3.28</f>
        <v>204.76347920662135</v>
      </c>
      <c r="AB24">
        <f>E24/$E$122</f>
        <v>0.76162605695751773</v>
      </c>
      <c r="AC24">
        <f>G24</f>
        <v>0.54927482794292315</v>
      </c>
      <c r="AD24">
        <f>I24/$I$3</f>
        <v>0.26156926569455968</v>
      </c>
      <c r="AE24">
        <f>K24/$K$3</f>
        <v>0.31625313531222898</v>
      </c>
      <c r="AF24">
        <f>M24/$M$3</f>
        <v>0.94720371432055916</v>
      </c>
      <c r="AG24">
        <f>U24/$U$3</f>
        <v>0.27614890201543024</v>
      </c>
      <c r="AH24">
        <f>Y24/$Y$3</f>
        <v>3.621234749447324</v>
      </c>
    </row>
    <row r="25" spans="1:34" x14ac:dyDescent="0.25">
      <c r="A25" s="40" t="s">
        <v>127</v>
      </c>
      <c r="E25">
        <f>(1/Gam*(1/M_3^2-1/G25^2)+(Gam+1)/2/Gam*LN((M_3^2/G25^2)*(1+G25^2*(Gam-1)/2)/(1+M_3^2*(Gam-1)/2)))*D/f+L</f>
        <v>115.05298804669823</v>
      </c>
      <c r="F25">
        <f>E25/3.28</f>
        <v>35.077130502042145</v>
      </c>
      <c r="G25">
        <f>G24+0.01</f>
        <v>0.55927482794292316</v>
      </c>
      <c r="H25">
        <f>(Gam/Z/Rg)^0.5*G25*(1+G25^2*(Gam-1)/2)^(-(Gam+1)/2/(Gam-1))</f>
        <v>7.5518323637936619E-2</v>
      </c>
      <c r="I25">
        <f>K25/(1+(Gam-1)/2*G25^2)^(Gam/(Gam-1))</f>
        <v>101.09900199733315</v>
      </c>
      <c r="J25" s="21">
        <f>I25*6.89476</f>
        <v>697.05335501113268</v>
      </c>
      <c r="K25">
        <f>mdot*Q25^0.5/A/H25/gc^0.5/144</f>
        <v>125.02033279280732</v>
      </c>
      <c r="L25" s="21">
        <f>K25*6.89476</f>
        <v>861.98518972653619</v>
      </c>
      <c r="M25">
        <f>Q25/(1+(Gam-1)/2*G25^2)</f>
        <v>620.83218700933992</v>
      </c>
      <c r="N25">
        <f>M25/1.8</f>
        <v>344.90677056074441</v>
      </c>
      <c r="O25">
        <f>M25-'Example 7.3 - Pipe P1'!$C$8</f>
        <v>161.1621870093399</v>
      </c>
      <c r="P25">
        <f>N25-'Example 7.3 - Pipe P1'!$C$9</f>
        <v>71.756770560744428</v>
      </c>
      <c r="Q25">
        <f>Q24</f>
        <v>659.67000000000007</v>
      </c>
      <c r="R25">
        <f>R24</f>
        <v>366.48333333333335</v>
      </c>
      <c r="S25">
        <f>Q25-'Example 7.3 - Pipe P1'!$C$8</f>
        <v>200.00000000000006</v>
      </c>
      <c r="T25">
        <f>R25-'Example 7.3 - Pipe P1'!$C$9</f>
        <v>93.333333333333371</v>
      </c>
      <c r="U25">
        <f>I25/M25/Rg/Z*144</f>
        <v>0.43951762088376511</v>
      </c>
      <c r="V25">
        <f>U25*16.01846</f>
        <v>7.040395429421757</v>
      </c>
      <c r="W25">
        <f>(Gam*I25/U25*gc*144)^0.5</f>
        <v>1221.4707771492874</v>
      </c>
      <c r="X25">
        <f>W25/3.28</f>
        <v>372.3996271796608</v>
      </c>
      <c r="Y25">
        <f>G25*W25</f>
        <v>683.13785872747633</v>
      </c>
      <c r="Z25">
        <f>Y25/3.28</f>
        <v>208.27373741691352</v>
      </c>
      <c r="AB25">
        <f>E25/$E$122</f>
        <v>0.76699528427995756</v>
      </c>
      <c r="AC25">
        <f>G25</f>
        <v>0.55927482794292316</v>
      </c>
      <c r="AD25">
        <f>I25/$I$3</f>
        <v>0.25662417788288838</v>
      </c>
      <c r="AE25">
        <f>K25/$K$3</f>
        <v>0.31255083198201833</v>
      </c>
      <c r="AF25">
        <f>M25/$M$3</f>
        <v>0.94522730892716533</v>
      </c>
      <c r="AG25">
        <f>U25/$U$3</f>
        <v>0.27149467166173735</v>
      </c>
      <c r="AH25">
        <f>Y25/$Y$3</f>
        <v>3.6833135393755612</v>
      </c>
    </row>
    <row r="26" spans="1:34" x14ac:dyDescent="0.25">
      <c r="A26" s="40" t="s">
        <v>127</v>
      </c>
      <c r="E26">
        <f>(1/Gam*(1/M_3^2-1/G26^2)+(Gam+1)/2/Gam*LN((M_3^2/G26^2)*(1+G26^2*(Gam-1)/2)/(1+M_3^2*(Gam-1)/2)))*D/f+L</f>
        <v>115.80242450723776</v>
      </c>
      <c r="F26">
        <f>E26/3.28</f>
        <v>35.305617227816391</v>
      </c>
      <c r="G26">
        <f>G25+0.01</f>
        <v>0.56927482794292317</v>
      </c>
      <c r="H26">
        <f>(Gam/Z/Rg)^0.5*G26*(1+G26^2*(Gam-1)/2)^(-(Gam+1)/2/(Gam-1))</f>
        <v>7.6380831428146168E-2</v>
      </c>
      <c r="I26">
        <f>K26/(1+(Gam-1)/2*G26^2)^(Gam/(Gam-1))</f>
        <v>99.217751966388221</v>
      </c>
      <c r="J26" s="21">
        <f>I26*6.89476</f>
        <v>684.08258754777478</v>
      </c>
      <c r="K26">
        <f>mdot*Q26^0.5/A/H26/gc^0.5/144</f>
        <v>123.60857791986086</v>
      </c>
      <c r="L26" s="21">
        <f>K26*6.89476</f>
        <v>852.2514786987399</v>
      </c>
      <c r="M26">
        <f>Q26/(1+(Gam-1)/2*G26^2)</f>
        <v>619.51620234530333</v>
      </c>
      <c r="N26">
        <f>M26/1.8</f>
        <v>344.17566796961296</v>
      </c>
      <c r="O26">
        <f>M26-'Example 7.3 - Pipe P1'!$C$8</f>
        <v>159.84620234530331</v>
      </c>
      <c r="P26">
        <f>N26-'Example 7.3 - Pipe P1'!$C$9</f>
        <v>71.025667969612982</v>
      </c>
      <c r="Q26">
        <f>Q25</f>
        <v>659.67000000000007</v>
      </c>
      <c r="R26">
        <f>R25</f>
        <v>366.48333333333335</v>
      </c>
      <c r="S26">
        <f>Q26-'Example 7.3 - Pipe P1'!$C$8</f>
        <v>200.00000000000006</v>
      </c>
      <c r="T26">
        <f>R26-'Example 7.3 - Pipe P1'!$C$9</f>
        <v>93.333333333333371</v>
      </c>
      <c r="U26">
        <f>I26/M26/Rg/Z*144</f>
        <v>0.43225533413691103</v>
      </c>
      <c r="V26">
        <f>U26*16.01846</f>
        <v>6.9240647796587442</v>
      </c>
      <c r="W26">
        <f>(Gam*I26/U26*gc*144)^0.5</f>
        <v>1220.1755080143798</v>
      </c>
      <c r="X26">
        <f>W26/3.28</f>
        <v>372.00472805316463</v>
      </c>
      <c r="Y26">
        <f>G26*W26</f>
        <v>694.615202385055</v>
      </c>
      <c r="Z26">
        <f>Y26/3.28</f>
        <v>211.77292755641923</v>
      </c>
      <c r="AB26">
        <f>E26/$E$122</f>
        <v>0.77199136687511771</v>
      </c>
      <c r="AC26">
        <f>G26</f>
        <v>0.56927482794292317</v>
      </c>
      <c r="AD26">
        <f>I26/$I$3</f>
        <v>0.25184891568399809</v>
      </c>
      <c r="AE26">
        <f>K26/$K$3</f>
        <v>0.30902144479965216</v>
      </c>
      <c r="AF26">
        <f>M26/$M$3</f>
        <v>0.94322370043423454</v>
      </c>
      <c r="AG26">
        <f>U26/$U$3</f>
        <v>0.26700868051561227</v>
      </c>
      <c r="AH26">
        <f>Y26/$Y$3</f>
        <v>3.7451965908708678</v>
      </c>
    </row>
    <row r="27" spans="1:34" x14ac:dyDescent="0.25">
      <c r="A27" s="40" t="s">
        <v>127</v>
      </c>
      <c r="E27">
        <f>(1/Gam*(1/M_3^2-1/G27^2)+(Gam+1)/2/Gam*LN((M_3^2/G27^2)*(1+G27^2*(Gam-1)/2)/(1+M_3^2*(Gam-1)/2)))*D/f+L</f>
        <v>116.50001589353151</v>
      </c>
      <c r="F27">
        <f>E27/3.28</f>
        <v>35.51829752851571</v>
      </c>
      <c r="G27">
        <f>G26+0.01</f>
        <v>0.57927482794292318</v>
      </c>
      <c r="H27">
        <f>(Gam/Z/Rg)^0.5*G27*(1+G27^2*(Gam-1)/2)^(-(Gam+1)/2/(Gam-1))</f>
        <v>7.7221708478458828E-2</v>
      </c>
      <c r="I27">
        <f>K27/(1+(Gam-1)/2*G27^2)^(Gam/(Gam-1))</f>
        <v>97.39995687782077</v>
      </c>
      <c r="J27" s="21">
        <f>I27*6.89476</f>
        <v>671.54932668292349</v>
      </c>
      <c r="K27">
        <f>mdot*Q27^0.5/A/H27/gc^0.5/144</f>
        <v>122.26258832130662</v>
      </c>
      <c r="L27" s="21">
        <f>K27*6.89476</f>
        <v>842.97120345421206</v>
      </c>
      <c r="M27">
        <f>Q27/(1+(Gam-1)/2*G27^2)</f>
        <v>618.18261184896369</v>
      </c>
      <c r="N27">
        <f>M27/1.8</f>
        <v>343.43478436053539</v>
      </c>
      <c r="O27">
        <f>M27-'Example 7.3 - Pipe P1'!$C$8</f>
        <v>158.51261184896367</v>
      </c>
      <c r="P27">
        <f>N27-'Example 7.3 - Pipe P1'!$C$9</f>
        <v>70.284784360535411</v>
      </c>
      <c r="Q27">
        <f>Q26</f>
        <v>659.67000000000007</v>
      </c>
      <c r="R27">
        <f>R26</f>
        <v>366.48333333333335</v>
      </c>
      <c r="S27">
        <f>Q27-'Example 7.3 - Pipe P1'!$C$8</f>
        <v>200.00000000000006</v>
      </c>
      <c r="T27">
        <f>R27-'Example 7.3 - Pipe P1'!$C$9</f>
        <v>93.333333333333371</v>
      </c>
      <c r="U27">
        <f>I27/M27/Rg/Z*144</f>
        <v>0.42525127760823733</v>
      </c>
      <c r="V27">
        <f>U27*16.01846</f>
        <v>6.8118705803164454</v>
      </c>
      <c r="W27">
        <f>(Gam*I27/U27*gc*144)^0.5</f>
        <v>1218.8615059773615</v>
      </c>
      <c r="X27">
        <f>W27/3.28</f>
        <v>371.60411767602488</v>
      </c>
      <c r="Y27">
        <f>G27*W27</f>
        <v>706.05578916128832</v>
      </c>
      <c r="Z27">
        <f>Y27/3.28</f>
        <v>215.2609113296611</v>
      </c>
      <c r="AB27">
        <f>E27/$E$122</f>
        <v>0.77664182674343907</v>
      </c>
      <c r="AC27">
        <f>G27</f>
        <v>0.57927482794292318</v>
      </c>
      <c r="AD27">
        <f>I27/$I$3</f>
        <v>0.24723472404068708</v>
      </c>
      <c r="AE27">
        <f>K27/$K$3</f>
        <v>0.30565647080326658</v>
      </c>
      <c r="AF27">
        <f>M27/$M$3</f>
        <v>0.94119328676941116</v>
      </c>
      <c r="AG27">
        <f>U27/$U$3</f>
        <v>0.26268220089978039</v>
      </c>
      <c r="AH27">
        <f>Y27/$Y$3</f>
        <v>3.8068814581827111</v>
      </c>
    </row>
    <row r="28" spans="1:34" x14ac:dyDescent="0.25">
      <c r="A28" s="40" t="s">
        <v>127</v>
      </c>
      <c r="E28">
        <f>(1/Gam*(1/M_3^2-1/G28^2)+(Gam+1)/2/Gam*LN((M_3^2/G28^2)*(1+G28^2*(Gam-1)/2)/(1+M_3^2*(Gam-1)/2)))*D/f+L</f>
        <v>117.14953387526157</v>
      </c>
      <c r="F28">
        <f>E28/3.28</f>
        <v>35.716321303433404</v>
      </c>
      <c r="G28">
        <f>G27+0.01</f>
        <v>0.58927482794292319</v>
      </c>
      <c r="H28">
        <f>(Gam/Z/Rg)^0.5*G28*(1+G28^2*(Gam-1)/2)^(-(Gam+1)/2/(Gam-1))</f>
        <v>7.804090415251623E-2</v>
      </c>
      <c r="I28">
        <f>K28/(1+(Gam-1)/2*G28^2)^(Gam/(Gam-1))</f>
        <v>95.642401870425005</v>
      </c>
      <c r="J28" s="21">
        <f>I28*6.89476</f>
        <v>659.43140672013146</v>
      </c>
      <c r="K28">
        <f>mdot*Q28^0.5/A/H28/gc^0.5/144</f>
        <v>120.97919745673977</v>
      </c>
      <c r="L28" s="21">
        <f>K28*6.89476</f>
        <v>834.1225314568311</v>
      </c>
      <c r="M28">
        <f>Q28/(1+(Gam-1)/2*G28^2)</f>
        <v>616.83167860711137</v>
      </c>
      <c r="N28">
        <f>M28/1.8</f>
        <v>342.68426589283962</v>
      </c>
      <c r="O28">
        <f>M28-'Example 7.3 - Pipe P1'!$C$8</f>
        <v>157.16167860711136</v>
      </c>
      <c r="P28">
        <f>N28-'Example 7.3 - Pipe P1'!$C$9</f>
        <v>69.534265892839642</v>
      </c>
      <c r="Q28">
        <f>Q27</f>
        <v>659.67000000000007</v>
      </c>
      <c r="R28">
        <f>R27</f>
        <v>366.48333333333335</v>
      </c>
      <c r="S28">
        <f>Q28-'Example 7.3 - Pipe P1'!$C$8</f>
        <v>200.00000000000006</v>
      </c>
      <c r="T28">
        <f>R28-'Example 7.3 - Pipe P1'!$C$9</f>
        <v>93.333333333333371</v>
      </c>
      <c r="U28">
        <f>I28/M28/Rg/Z*144</f>
        <v>0.41849228101836883</v>
      </c>
      <c r="V28">
        <f>U28*16.01846</f>
        <v>6.7036018638015005</v>
      </c>
      <c r="W28">
        <f>(Gam*I28/U28*gc*144)^0.5</f>
        <v>1217.528970032565</v>
      </c>
      <c r="X28">
        <f>W28/3.28</f>
        <v>371.19785671724543</v>
      </c>
      <c r="Y28">
        <f>G28*W28</f>
        <v>717.45917433146417</v>
      </c>
      <c r="Z28">
        <f>Y28/3.28</f>
        <v>218.73755314983666</v>
      </c>
      <c r="AB28">
        <f>E28/$E$122</f>
        <v>0.78097180754184992</v>
      </c>
      <c r="AC28">
        <f>G28</f>
        <v>0.58927482794292319</v>
      </c>
      <c r="AD28">
        <f>I28/$I$3</f>
        <v>0.24277344252508132</v>
      </c>
      <c r="AE28">
        <f>K28/$K$3</f>
        <v>0.30244799364184943</v>
      </c>
      <c r="AF28">
        <f>M28/$M$3</f>
        <v>0.93913646848670007</v>
      </c>
      <c r="AG28">
        <f>U28/$U$3</f>
        <v>0.25850709739371541</v>
      </c>
      <c r="AH28">
        <f>Y28/$Y$3</f>
        <v>3.8683657434633769</v>
      </c>
    </row>
    <row r="29" spans="1:34" x14ac:dyDescent="0.25">
      <c r="A29" s="40" t="s">
        <v>127</v>
      </c>
      <c r="E29">
        <f>(1/Gam*(1/M_3^2-1/G29^2)+(Gam+1)/2/Gam*LN((M_3^2/G29^2)*(1+G29^2*(Gam-1)/2)/(1+M_3^2*(Gam-1)/2)))*D/f+L</f>
        <v>117.75442923584163</v>
      </c>
      <c r="F29">
        <f>E29/3.28</f>
        <v>35.900740620683422</v>
      </c>
      <c r="G29">
        <f>G28+0.01</f>
        <v>0.59927482794292319</v>
      </c>
      <c r="H29">
        <f>(Gam/Z/Rg)^0.5*G29*(1+G29^2*(Gam-1)/2)^(-(Gam+1)/2/(Gam-1))</f>
        <v>7.8838379772191228E-2</v>
      </c>
      <c r="I29">
        <f>K29/(1+(Gam-1)/2*G29^2)^(Gam/(Gam-1))</f>
        <v>93.942086790615491</v>
      </c>
      <c r="J29" s="21">
        <f>I29*6.89476</f>
        <v>647.70814232046405</v>
      </c>
      <c r="K29">
        <f>mdot*Q29^0.5/A/H29/gc^0.5/144</f>
        <v>119.7554538849112</v>
      </c>
      <c r="L29" s="21">
        <f>K29*6.89476</f>
        <v>825.68511322753034</v>
      </c>
      <c r="M29">
        <f>Q29/(1+(Gam-1)/2*G29^2)</f>
        <v>615.46366731488126</v>
      </c>
      <c r="N29">
        <f>M29/1.8</f>
        <v>341.92425961937846</v>
      </c>
      <c r="O29">
        <f>M29-'Example 7.3 - Pipe P1'!$C$8</f>
        <v>155.79366731488125</v>
      </c>
      <c r="P29">
        <f>N29-'Example 7.3 - Pipe P1'!$C$9</f>
        <v>68.774259619378483</v>
      </c>
      <c r="Q29">
        <f>Q28</f>
        <v>659.67000000000007</v>
      </c>
      <c r="R29">
        <f>R28</f>
        <v>366.48333333333335</v>
      </c>
      <c r="S29">
        <f>Q29-'Example 7.3 - Pipe P1'!$C$8</f>
        <v>200.00000000000006</v>
      </c>
      <c r="T29">
        <f>R29-'Example 7.3 - Pipe P1'!$C$9</f>
        <v>93.333333333333371</v>
      </c>
      <c r="U29">
        <f>I29/M29/Rg/Z*144</f>
        <v>0.41196605289074961</v>
      </c>
      <c r="V29">
        <f>U29*16.01846</f>
        <v>6.5990617395883575</v>
      </c>
      <c r="W29">
        <f>(Gam*I29/U29*gc*144)^0.5</f>
        <v>1216.1781007820896</v>
      </c>
      <c r="X29">
        <f>W29/3.28</f>
        <v>370.78600633600297</v>
      </c>
      <c r="Y29">
        <f>G29*W29</f>
        <v>728.82492209413783</v>
      </c>
      <c r="Z29">
        <f>Y29/3.28</f>
        <v>222.2027201506518</v>
      </c>
      <c r="AB29">
        <f>E29/$E$122</f>
        <v>0.78500431375419977</v>
      </c>
      <c r="AC29">
        <f>G29</f>
        <v>0.59927482794292319</v>
      </c>
      <c r="AD29">
        <f>I29/$I$3</f>
        <v>0.23845745571138852</v>
      </c>
      <c r="AE29">
        <f>K29/$K$3</f>
        <v>0.299388634712278</v>
      </c>
      <c r="AF29">
        <f>M29/$M$3</f>
        <v>0.93705364858883744</v>
      </c>
      <c r="AG29">
        <f>U29/$U$3</f>
        <v>0.25447577742266436</v>
      </c>
      <c r="AH29">
        <f>Y29/$Y$3</f>
        <v>3.9296470969772419</v>
      </c>
    </row>
    <row r="30" spans="1:34" x14ac:dyDescent="0.25">
      <c r="A30" s="40" t="s">
        <v>127</v>
      </c>
      <c r="E30">
        <f>(1/Gam*(1/M_3^2-1/G30^2)+(Gam+1)/2/Gam*LN((M_3^2/G30^2)*(1+G30^2*(Gam-1)/2)/(1+M_3^2*(Gam-1)/2)))*D/f+L</f>
        <v>118.3178636313926</v>
      </c>
      <c r="F30">
        <f>E30/3.28</f>
        <v>36.072519399814816</v>
      </c>
      <c r="G30">
        <f>G29+0.01</f>
        <v>0.6092748279429232</v>
      </c>
      <c r="H30">
        <f>(Gam/Z/Rg)^0.5*G30*(1+G30^2*(Gam-1)/2)^(-(Gam+1)/2/(Gam-1))</f>
        <v>7.9614108464618721E-2</v>
      </c>
      <c r="I30">
        <f>K30/(1+(Gam-1)/2*G30^2)^(Gam/(Gam-1))</f>
        <v>92.296208566755737</v>
      </c>
      <c r="J30" s="21">
        <f>I30*6.89476</f>
        <v>636.36020697772472</v>
      </c>
      <c r="K30">
        <f>mdot*Q30^0.5/A/H30/gc^0.5/144</f>
        <v>118.58860364385767</v>
      </c>
      <c r="L30" s="21">
        <f>K30*6.89476</f>
        <v>817.63996085952408</v>
      </c>
      <c r="M30">
        <f>Q30/(1+(Gam-1)/2*G30^2)</f>
        <v>614.07884415969772</v>
      </c>
      <c r="N30">
        <f>M30/1.8</f>
        <v>341.15491342205428</v>
      </c>
      <c r="O30">
        <f>M30-'Example 7.3 - Pipe P1'!$C$8</f>
        <v>154.40884415969771</v>
      </c>
      <c r="P30">
        <f>N30-'Example 7.3 - Pipe P1'!$C$9</f>
        <v>68.004913422054301</v>
      </c>
      <c r="Q30">
        <f>Q29</f>
        <v>659.67000000000007</v>
      </c>
      <c r="R30">
        <f>R29</f>
        <v>366.48333333333335</v>
      </c>
      <c r="S30">
        <f>Q30-'Example 7.3 - Pipe P1'!$C$8</f>
        <v>200.00000000000006</v>
      </c>
      <c r="T30">
        <f>R30-'Example 7.3 - Pipe P1'!$C$9</f>
        <v>93.333333333333371</v>
      </c>
      <c r="U30">
        <f>I30/M30/Rg/Z*144</f>
        <v>0.40566110843844611</v>
      </c>
      <c r="V30">
        <f>U30*16.01846</f>
        <v>6.4980662390769117</v>
      </c>
      <c r="W30">
        <f>(Gam*I30/U30*gc*144)^0.5</f>
        <v>1214.8091003602642</v>
      </c>
      <c r="X30">
        <f>W30/3.28</f>
        <v>370.36862815861718</v>
      </c>
      <c r="Y30">
        <f>G30*W30</f>
        <v>740.15260560549734</v>
      </c>
      <c r="Z30">
        <f>Y30/3.28</f>
        <v>225.65628219679797</v>
      </c>
      <c r="AB30">
        <f>E30/$E$122</f>
        <v>0.78876042241096334</v>
      </c>
      <c r="AC30">
        <f>G30</f>
        <v>0.6092748279429232</v>
      </c>
      <c r="AD30">
        <f>I30/$I$3</f>
        <v>0.23427964843585775</v>
      </c>
      <c r="AE30">
        <f>K30/$K$3</f>
        <v>0.29647150910964415</v>
      </c>
      <c r="AF30">
        <f>M30/$M$3</f>
        <v>0.93494523235059479</v>
      </c>
      <c r="AG30">
        <f>U30/$U$3</f>
        <v>0.25058114671256521</v>
      </c>
      <c r="AH30">
        <f>Y30/$Y$3</f>
        <v>3.990723217286066</v>
      </c>
    </row>
    <row r="31" spans="1:34" x14ac:dyDescent="0.25">
      <c r="A31" s="40" t="s">
        <v>127</v>
      </c>
      <c r="E31">
        <f>(1/Gam*(1/M_3^2-1/G31^2)+(Gam+1)/2/Gam*LN((M_3^2/G31^2)*(1+G31^2*(Gam-1)/2)/(1+M_3^2*(Gam-1)/2)))*D/f+L</f>
        <v>118.84273776199457</v>
      </c>
      <c r="F31">
        <f>E31/3.28</f>
        <v>36.232542000608106</v>
      </c>
      <c r="G31">
        <f>G30+0.01</f>
        <v>0.61927482794292321</v>
      </c>
      <c r="H31">
        <f>(Gam/Z/Rg)^0.5*G31*(1+G31^2*(Gam-1)/2)^(-(Gam+1)/2/(Gam-1))</f>
        <v>8.036807500008418E-2</v>
      </c>
      <c r="I31">
        <f>K31/(1+(Gam-1)/2*G31^2)^(Gam/(Gam-1))</f>
        <v>90.702145291209575</v>
      </c>
      <c r="J31" s="21">
        <f>I31*6.89476</f>
        <v>625.36952326802009</v>
      </c>
      <c r="K31">
        <f>mdot*Q31^0.5/A/H31/gc^0.5/144</f>
        <v>117.47607433872064</v>
      </c>
      <c r="L31" s="21">
        <f>K31*6.89476</f>
        <v>809.96933830763749</v>
      </c>
      <c r="M31">
        <f>Q31/(1+(Gam-1)/2*G31^2)</f>
        <v>612.67747670591041</v>
      </c>
      <c r="N31">
        <f>M31/1.8</f>
        <v>340.37637594772798</v>
      </c>
      <c r="O31">
        <f>M31-'Example 7.3 - Pipe P1'!$C$8</f>
        <v>153.00747670591039</v>
      </c>
      <c r="P31">
        <f>N31-'Example 7.3 - Pipe P1'!$C$9</f>
        <v>67.226375947728002</v>
      </c>
      <c r="Q31">
        <f>Q30</f>
        <v>659.67000000000007</v>
      </c>
      <c r="R31">
        <f>R30</f>
        <v>366.48333333333335</v>
      </c>
      <c r="S31">
        <f>Q31-'Example 7.3 - Pipe P1'!$C$8</f>
        <v>200.00000000000006</v>
      </c>
      <c r="T31">
        <f>R31-'Example 7.3 - Pipe P1'!$C$9</f>
        <v>93.333333333333371</v>
      </c>
      <c r="U31">
        <f>I31/M31/Rg/Z*144</f>
        <v>0.39956670443784209</v>
      </c>
      <c r="V31">
        <f>U31*16.01846</f>
        <v>6.4004432723693965</v>
      </c>
      <c r="W31">
        <f>(Gam*I31/U31*gc*144)^0.5</f>
        <v>1213.4221723583059</v>
      </c>
      <c r="X31">
        <f>W31/3.28</f>
        <v>369.94578425558109</v>
      </c>
      <c r="Y31">
        <f>G31*W31</f>
        <v>751.44180700931804</v>
      </c>
      <c r="Z31">
        <f>Y31/3.28</f>
        <v>229.09811189308479</v>
      </c>
      <c r="AB31">
        <f>E31/$E$122</f>
        <v>0.79225947089155435</v>
      </c>
      <c r="AC31">
        <f>G31</f>
        <v>0.61927482794292321</v>
      </c>
      <c r="AD31">
        <f>I31/$I$3</f>
        <v>0.23023336539152928</v>
      </c>
      <c r="AE31">
        <f>K31/$K$3</f>
        <v>0.29369018584680157</v>
      </c>
      <c r="AF31">
        <f>M31/$M$3</f>
        <v>0.93281162714313548</v>
      </c>
      <c r="AG31">
        <f>U31/$U$3</f>
        <v>0.2468165690608411</v>
      </c>
      <c r="AH31">
        <f>Y31/$Y$3</f>
        <v>4.0515918514104978</v>
      </c>
    </row>
    <row r="32" spans="1:34" x14ac:dyDescent="0.25">
      <c r="A32" s="40" t="s">
        <v>127</v>
      </c>
      <c r="E32">
        <f>(1/Gam*(1/M_3^2-1/G32^2)+(Gam+1)/2/Gam*LN((M_3^2/G32^2)*(1+G32^2*(Gam-1)/2)/(1+M_3^2*(Gam-1)/2)))*D/f+L</f>
        <v>119.33171640981067</v>
      </c>
      <c r="F32">
        <f>E32/3.28</f>
        <v>36.381620856649597</v>
      </c>
      <c r="G32">
        <f>G31+0.01</f>
        <v>0.62927482794292322</v>
      </c>
      <c r="H32">
        <f>(Gam/Z/Rg)^0.5*G32*(1+G32^2*(Gam-1)/2)^(-(Gam+1)/2/(Gam-1))</f>
        <v>8.110027562116208E-2</v>
      </c>
      <c r="I32">
        <f>K32/(1+(Gam-1)/2*G32^2)^(Gam/(Gam-1))</f>
        <v>89.157441820152528</v>
      </c>
      <c r="J32" s="21">
        <f>I32*6.89476</f>
        <v>614.71916356391478</v>
      </c>
      <c r="K32">
        <f>mdot*Q32^0.5/A/H32/gc^0.5/144</f>
        <v>116.41546074728961</v>
      </c>
      <c r="L32" s="21">
        <f>K32*6.89476</f>
        <v>802.65666214198257</v>
      </c>
      <c r="M32">
        <f>Q32/(1+(Gam-1)/2*G32^2)</f>
        <v>611.25983378020396</v>
      </c>
      <c r="N32">
        <f>M32/1.8</f>
        <v>339.58879654455774</v>
      </c>
      <c r="O32">
        <f>M32-'Example 7.3 - Pipe P1'!$C$8</f>
        <v>151.58983378020395</v>
      </c>
      <c r="P32">
        <f>N32-'Example 7.3 - Pipe P1'!$C$9</f>
        <v>66.438796544557761</v>
      </c>
      <c r="Q32">
        <f>Q31</f>
        <v>659.67000000000007</v>
      </c>
      <c r="R32">
        <f>R31</f>
        <v>366.48333333333335</v>
      </c>
      <c r="S32">
        <f>Q32-'Example 7.3 - Pipe P1'!$C$8</f>
        <v>200.00000000000006</v>
      </c>
      <c r="T32">
        <f>R32-'Example 7.3 - Pipe P1'!$C$9</f>
        <v>93.333333333333371</v>
      </c>
      <c r="U32">
        <f>I32/M32/Rg/Z*144</f>
        <v>0.39367278031200093</v>
      </c>
      <c r="V32">
        <f>U32*16.01846</f>
        <v>6.3060316845165749</v>
      </c>
      <c r="W32">
        <f>(Gam*I32/U32*gc*144)^0.5</f>
        <v>1212.0175217492254</v>
      </c>
      <c r="X32">
        <f>W32/3.28</f>
        <v>369.51753711866627</v>
      </c>
      <c r="Y32">
        <f>G32*W32</f>
        <v>762.69211746255201</v>
      </c>
      <c r="Z32">
        <f>Y32/3.28</f>
        <v>232.52808459224147</v>
      </c>
      <c r="AB32">
        <f>E32/$E$122</f>
        <v>0.79551922383979001</v>
      </c>
      <c r="AC32">
        <f>G32</f>
        <v>0.62927482794292322</v>
      </c>
      <c r="AD32">
        <f>I32/$I$3</f>
        <v>0.2263123745755832</v>
      </c>
      <c r="AE32">
        <f>K32/$K$3</f>
        <v>0.29103865186822403</v>
      </c>
      <c r="AF32">
        <f>M32/$M$3</f>
        <v>0.9306532422595486</v>
      </c>
      <c r="AG32">
        <f>U32/$U$3</f>
        <v>0.24317582994297166</v>
      </c>
      <c r="AH32">
        <f>Y32/$Y$3</f>
        <v>4.1122507949680465</v>
      </c>
    </row>
    <row r="33" spans="1:34" x14ac:dyDescent="0.25">
      <c r="A33" s="40" t="s">
        <v>127</v>
      </c>
      <c r="E33">
        <f>(1/Gam*(1/M_3^2-1/G33^2)+(Gam+1)/2/Gam*LN((M_3^2/G33^2)*(1+G33^2*(Gam-1)/2)/(1+M_3^2*(Gam-1)/2)))*D/f+L</f>
        <v>119.78725073498427</v>
      </c>
      <c r="F33">
        <f>E33/3.28</f>
        <v>36.520503272861063</v>
      </c>
      <c r="G33">
        <f>G32+0.01</f>
        <v>0.63927482794292323</v>
      </c>
      <c r="H33">
        <f>(Gam/Z/Rg)^0.5*G33*(1+G33^2*(Gam-1)/2)^(-(Gam+1)/2/(Gam-1))</f>
        <v>8.1810717863498625E-2</v>
      </c>
      <c r="I33">
        <f>K33/(1+(Gam-1)/2*G33^2)^(Gam/(Gam-1))</f>
        <v>87.659796724953708</v>
      </c>
      <c r="J33" s="21">
        <f>I33*6.89476</f>
        <v>604.39326006734177</v>
      </c>
      <c r="K33">
        <f>mdot*Q33^0.5/A/H33/gc^0.5/144</f>
        <v>115.40451177708327</v>
      </c>
      <c r="L33" s="21">
        <f>K33*6.89476</f>
        <v>795.68641162016263</v>
      </c>
      <c r="M33">
        <f>Q33/(1+(Gam-1)/2*G33^2)</f>
        <v>609.82618535785457</v>
      </c>
      <c r="N33">
        <f>M33/1.8</f>
        <v>338.7923251988081</v>
      </c>
      <c r="O33">
        <f>M33-'Example 7.3 - Pipe P1'!$C$8</f>
        <v>150.15618535785455</v>
      </c>
      <c r="P33">
        <f>N33-'Example 7.3 - Pipe P1'!$C$9</f>
        <v>65.642325198808123</v>
      </c>
      <c r="Q33">
        <f>Q32</f>
        <v>659.67000000000007</v>
      </c>
      <c r="R33">
        <f>R32</f>
        <v>366.48333333333335</v>
      </c>
      <c r="S33">
        <f>Q33-'Example 7.3 - Pipe P1'!$C$8</f>
        <v>200.00000000000006</v>
      </c>
      <c r="T33">
        <f>R33-'Example 7.3 - Pipe P1'!$C$9</f>
        <v>93.333333333333371</v>
      </c>
      <c r="U33">
        <f>I33/M33/Rg/Z*144</f>
        <v>0.38796990474374415</v>
      </c>
      <c r="V33">
        <f>U33*16.01846</f>
        <v>6.214680400341476</v>
      </c>
      <c r="W33">
        <f>(Gam*I33/U33*gc*144)^0.5</f>
        <v>1210.5953548130237</v>
      </c>
      <c r="X33">
        <f>W33/3.28</f>
        <v>369.08394963811702</v>
      </c>
      <c r="Y33">
        <f>G33*W33</f>
        <v>773.90313715659784</v>
      </c>
      <c r="Z33">
        <f>Y33/3.28</f>
        <v>235.94607840140179</v>
      </c>
      <c r="AB33">
        <f>E33/$E$122</f>
        <v>0.79855602179843133</v>
      </c>
      <c r="AC33">
        <f>G33</f>
        <v>0.63927482794292323</v>
      </c>
      <c r="AD33">
        <f>I33/$I$3</f>
        <v>0.22251083416744075</v>
      </c>
      <c r="AE33">
        <f>K33/$K$3</f>
        <v>0.28851127944270816</v>
      </c>
      <c r="AF33">
        <f>M33/$M$3</f>
        <v>0.92847048874167304</v>
      </c>
      <c r="AG33">
        <f>U33/$U$3</f>
        <v>0.23965310353482822</v>
      </c>
      <c r="AH33">
        <f>Y33/$Y$3</f>
        <v>4.1726978922877676</v>
      </c>
    </row>
    <row r="34" spans="1:34" x14ac:dyDescent="0.25">
      <c r="A34" s="40" t="s">
        <v>127</v>
      </c>
      <c r="E34">
        <f>(1/Gam*(1/M_3^2-1/G34^2)+(Gam+1)/2/Gam*LN((M_3^2/G34^2)*(1+G34^2*(Gam-1)/2)/(1+M_3^2*(Gam-1)/2)))*D/f+L</f>
        <v>120.21159816627242</v>
      </c>
      <c r="F34">
        <f>E34/3.28</f>
        <v>36.649877489717205</v>
      </c>
      <c r="G34">
        <f>G33+0.01</f>
        <v>0.64927482794292324</v>
      </c>
      <c r="H34">
        <f>(Gam/Z/Rg)^0.5*G34*(1+G34^2*(Gam-1)/2)^(-(Gam+1)/2/(Gam-1))</f>
        <v>8.2499420368641496E-2</v>
      </c>
      <c r="I34">
        <f>K34/(1+(Gam-1)/2*G34^2)^(Gam/(Gam-1))</f>
        <v>86.207050449414396</v>
      </c>
      <c r="J34" s="21">
        <f>I34*6.89476</f>
        <v>594.37692315660433</v>
      </c>
      <c r="K34">
        <f>mdot*Q34^0.5/A/H34/gc^0.5/144</f>
        <v>114.4411186282524</v>
      </c>
      <c r="L34" s="21">
        <f>K34*6.89476</f>
        <v>789.04404707332947</v>
      </c>
      <c r="M34">
        <f>Q34/(1+(Gam-1)/2*G34^2)</f>
        <v>608.37680244991236</v>
      </c>
      <c r="N34">
        <f>M34/1.8</f>
        <v>337.98711247217352</v>
      </c>
      <c r="O34">
        <f>M34-'Example 7.3 - Pipe P1'!$C$8</f>
        <v>148.70680244991235</v>
      </c>
      <c r="P34">
        <f>N34-'Example 7.3 - Pipe P1'!$C$9</f>
        <v>64.837112472173544</v>
      </c>
      <c r="Q34">
        <f>Q33</f>
        <v>659.67000000000007</v>
      </c>
      <c r="R34">
        <f>R33</f>
        <v>366.48333333333335</v>
      </c>
      <c r="S34">
        <f>Q34-'Example 7.3 - Pipe P1'!$C$8</f>
        <v>200.00000000000006</v>
      </c>
      <c r="T34">
        <f>R34-'Example 7.3 - Pipe P1'!$C$9</f>
        <v>93.333333333333371</v>
      </c>
      <c r="U34">
        <f>I34/M34/Rg/Z*144</f>
        <v>0.38244922722226615</v>
      </c>
      <c r="V34">
        <f>U34*16.01846</f>
        <v>6.1262476482907822</v>
      </c>
      <c r="W34">
        <f>(Gam*I34/U34*gc*144)^0.5</f>
        <v>1209.1558790622282</v>
      </c>
      <c r="X34">
        <f>W34/3.28</f>
        <v>368.64508507994765</v>
      </c>
      <c r="Y34">
        <f>G34*W34</f>
        <v>785.07447533430229</v>
      </c>
      <c r="Z34">
        <f>Y34/3.28</f>
        <v>239.35197418728731</v>
      </c>
      <c r="AB34">
        <f>E34/$E$122</f>
        <v>0.80138491380914756</v>
      </c>
      <c r="AC34">
        <f>G34</f>
        <v>0.64927482794292324</v>
      </c>
      <c r="AD34">
        <f>I34/$I$3</f>
        <v>0.21882326246774642</v>
      </c>
      <c r="AE34">
        <f>K34/$K$3</f>
        <v>0.28610279657063098</v>
      </c>
      <c r="AF34">
        <f>M34/$M$3</f>
        <v>0.92626377920833081</v>
      </c>
      <c r="AG34">
        <f>U34/$U$3</f>
        <v>0.23624292278250658</v>
      </c>
      <c r="AH34">
        <f>Y34/$Y$3</f>
        <v>4.232931036501923</v>
      </c>
    </row>
    <row r="35" spans="1:34" x14ac:dyDescent="0.25">
      <c r="A35" s="40" t="s">
        <v>127</v>
      </c>
      <c r="E35">
        <f>(1/Gam*(1/M_3^2-1/G35^2)+(Gam+1)/2/Gam*LN((M_3^2/G35^2)*(1+G35^2*(Gam-1)/2)/(1+M_3^2*(Gam-1)/2)))*D/f+L</f>
        <v>120.60684017757679</v>
      </c>
      <c r="F35">
        <f>E35/3.28</f>
        <v>36.770378102919757</v>
      </c>
      <c r="G35">
        <f>G34+0.01</f>
        <v>0.65927482794292325</v>
      </c>
      <c r="H35">
        <f>(Gam/Z/Rg)^0.5*G35*(1+G35^2*(Gam-1)/2)^(-(Gam+1)/2/(Gam-1))</f>
        <v>8.3166412689319416E-2</v>
      </c>
      <c r="I35">
        <f>K35/(1+(Gam-1)/2*G35^2)^(Gam/(Gam-1))</f>
        <v>84.797174544832814</v>
      </c>
      <c r="J35" s="21">
        <f>I35*6.89476</f>
        <v>584.65616716473141</v>
      </c>
      <c r="K35">
        <f>mdot*Q35^0.5/A/H35/gc^0.5/144</f>
        <v>113.52330403427703</v>
      </c>
      <c r="L35" s="21">
        <f>K35*6.89476</f>
        <v>782.7159357233719</v>
      </c>
      <c r="M35">
        <f>Q35/(1+(Gam-1)/2*G35^2)</f>
        <v>606.91195699137688</v>
      </c>
      <c r="N35">
        <f>M35/1.8</f>
        <v>337.17330943965379</v>
      </c>
      <c r="O35">
        <f>M35-'Example 7.3 - Pipe P1'!$C$8</f>
        <v>147.24195699137687</v>
      </c>
      <c r="P35">
        <f>N35-'Example 7.3 - Pipe P1'!$C$9</f>
        <v>64.023309439653815</v>
      </c>
      <c r="Q35">
        <f>Q34</f>
        <v>659.67000000000007</v>
      </c>
      <c r="R35">
        <f>R34</f>
        <v>366.48333333333335</v>
      </c>
      <c r="S35">
        <f>Q35-'Example 7.3 - Pipe P1'!$C$8</f>
        <v>200.00000000000006</v>
      </c>
      <c r="T35">
        <f>R35-'Example 7.3 - Pipe P1'!$C$9</f>
        <v>93.333333333333371</v>
      </c>
      <c r="U35">
        <f>I35/M35/Rg/Z*144</f>
        <v>0.37710243399945881</v>
      </c>
      <c r="V35">
        <f>U35*16.01846</f>
        <v>6.0406002549229711</v>
      </c>
      <c r="W35">
        <f>(Gam*I35/U35*gc*144)^0.5</f>
        <v>1207.6993031678062</v>
      </c>
      <c r="X35">
        <f>W35/3.28</f>
        <v>368.20100706335558</v>
      </c>
      <c r="Y35">
        <f>G35*W35</f>
        <v>796.2057503027437</v>
      </c>
      <c r="Z35">
        <f>Y35/3.28</f>
        <v>242.7456555801048</v>
      </c>
      <c r="AB35">
        <f>E35/$E$122</f>
        <v>0.80401977591891494</v>
      </c>
      <c r="AC35">
        <f>G35</f>
        <v>0.65927482794292325</v>
      </c>
      <c r="AD35">
        <f>I35/$I$3</f>
        <v>0.21524451057324517</v>
      </c>
      <c r="AE35">
        <f>K35/$K$3</f>
        <v>0.2838082600856926</v>
      </c>
      <c r="AF35">
        <f>M35/$M$3</f>
        <v>0.92403352768507196</v>
      </c>
      <c r="AG35">
        <f>U35/$U$3</f>
        <v>0.23294015219608413</v>
      </c>
      <c r="AH35">
        <f>Y35/$Y$3</f>
        <v>4.2929481696149168</v>
      </c>
    </row>
    <row r="36" spans="1:34" x14ac:dyDescent="0.25">
      <c r="A36" s="40" t="s">
        <v>127</v>
      </c>
      <c r="E36">
        <f>(1/Gam*(1/M_3^2-1/G36^2)+(Gam+1)/2/Gam*LN((M_3^2/G36^2)*(1+G36^2*(Gam-1)/2)/(1+M_3^2*(Gam-1)/2)))*D/f+L</f>
        <v>120.97489820253865</v>
      </c>
      <c r="F36">
        <f>E36/3.28</f>
        <v>36.88259091540813</v>
      </c>
      <c r="G36">
        <f>G35+0.01</f>
        <v>0.66927482794292326</v>
      </c>
      <c r="H36">
        <f>(Gam/Z/Rg)^0.5*G36*(1+G36^2*(Gam-1)/2)^(-(Gam+1)/2/(Gam-1))</f>
        <v>8.381173508758076E-2</v>
      </c>
      <c r="I36">
        <f>K36/(1+(Gam-1)/2*G36^2)^(Gam/(Gam-1))</f>
        <v>83.428261870166509</v>
      </c>
      <c r="J36" s="21">
        <f>I36*6.89476</f>
        <v>575.21784281194925</v>
      </c>
      <c r="K36">
        <f>mdot*Q36^0.5/A/H36/gc^0.5/144</f>
        <v>112.64921246772734</v>
      </c>
      <c r="L36" s="21">
        <f>K36*6.89476</f>
        <v>776.68928415398773</v>
      </c>
      <c r="M36">
        <f>Q36/(1+(Gam-1)/2*G36^2)</f>
        <v>605.43192173044099</v>
      </c>
      <c r="N36">
        <f>M36/1.8</f>
        <v>336.35106762802275</v>
      </c>
      <c r="O36">
        <f>M36-'Example 7.3 - Pipe P1'!$C$8</f>
        <v>145.76192173044097</v>
      </c>
      <c r="P36">
        <f>N36-'Example 7.3 - Pipe P1'!$C$9</f>
        <v>63.20106762802277</v>
      </c>
      <c r="Q36">
        <f>Q35</f>
        <v>659.67000000000007</v>
      </c>
      <c r="R36">
        <f>R35</f>
        <v>366.48333333333335</v>
      </c>
      <c r="S36">
        <f>Q36-'Example 7.3 - Pipe P1'!$C$8</f>
        <v>200.00000000000006</v>
      </c>
      <c r="T36">
        <f>R36-'Example 7.3 - Pipe P1'!$C$9</f>
        <v>93.333333333333371</v>
      </c>
      <c r="U36">
        <f>I36/M36/Rg/Z*144</f>
        <v>0.37192170799472274</v>
      </c>
      <c r="V36">
        <f>U36*16.01846</f>
        <v>5.9576130026451466</v>
      </c>
      <c r="W36">
        <f>(Gam*I36/U36*gc*144)^0.5</f>
        <v>1206.2258368855084</v>
      </c>
      <c r="X36">
        <f>W36/3.28</f>
        <v>367.75177953826477</v>
      </c>
      <c r="Y36">
        <f>G36*W36</f>
        <v>807.29658944185724</v>
      </c>
      <c r="Z36">
        <f>Y36/3.28</f>
        <v>246.127008976176</v>
      </c>
      <c r="AB36">
        <f>E36/$E$122</f>
        <v>0.8064734172739102</v>
      </c>
      <c r="AC36">
        <f>G36</f>
        <v>0.66927482794292326</v>
      </c>
      <c r="AD36">
        <f>I36/$I$3</f>
        <v>0.21176973750141037</v>
      </c>
      <c r="AE36">
        <f>K36/$K$3</f>
        <v>0.28162303116931836</v>
      </c>
      <c r="AF36">
        <f>M36/$M$3</f>
        <v>0.9217801494355472</v>
      </c>
      <c r="AG36">
        <f>U36/$U$3</f>
        <v>0.22973996308239847</v>
      </c>
      <c r="AH36">
        <f>Y36/$Y$3</f>
        <v>4.3527472825497924</v>
      </c>
    </row>
    <row r="37" spans="1:34" x14ac:dyDescent="0.25">
      <c r="A37" s="40" t="s">
        <v>127</v>
      </c>
      <c r="E37">
        <f>(1/Gam*(1/M_3^2-1/G37^2)+(Gam+1)/2/Gam*LN((M_3^2/G37^2)*(1+G37^2*(Gam-1)/2)/(1+M_3^2*(Gam-1)/2)))*D/f+L</f>
        <v>121.31754790608325</v>
      </c>
      <c r="F37">
        <f>E37/3.28</f>
        <v>36.98705728844002</v>
      </c>
      <c r="G37">
        <f>G36+0.01</f>
        <v>0.67927482794292326</v>
      </c>
      <c r="H37">
        <f>(Gam/Z/Rg)^0.5*G37*(1+G37^2*(Gam-1)/2)^(-(Gam+1)/2/(Gam-1))</f>
        <v>8.4435438326198556E-2</v>
      </c>
      <c r="I37">
        <f>K37/(1+(Gam-1)/2*G37^2)^(Gam/(Gam-1))</f>
        <v>82.098517657841455</v>
      </c>
      <c r="J37" s="21">
        <f>I37*6.89476</f>
        <v>566.04957560657897</v>
      </c>
      <c r="K37">
        <f>mdot*Q37^0.5/A/H37/gc^0.5/144</f>
        <v>111.81710121164039</v>
      </c>
      <c r="L37" s="21">
        <f>K37*6.89476</f>
        <v>770.95207674996971</v>
      </c>
      <c r="M37">
        <f>Q37/(1+(Gam-1)/2*G37^2)</f>
        <v>603.93697011886604</v>
      </c>
      <c r="N37">
        <f>M37/1.8</f>
        <v>335.5205389549256</v>
      </c>
      <c r="O37">
        <f>M37-'Example 7.3 - Pipe P1'!$C$8</f>
        <v>144.26697011886603</v>
      </c>
      <c r="P37">
        <f>N37-'Example 7.3 - Pipe P1'!$C$9</f>
        <v>62.370538954925621</v>
      </c>
      <c r="Q37">
        <f>Q36</f>
        <v>659.67000000000007</v>
      </c>
      <c r="R37">
        <f>R36</f>
        <v>366.48333333333335</v>
      </c>
      <c r="S37">
        <f>Q37-'Example 7.3 - Pipe P1'!$C$8</f>
        <v>200.00000000000006</v>
      </c>
      <c r="T37">
        <f>R37-'Example 7.3 - Pipe P1'!$C$9</f>
        <v>93.333333333333371</v>
      </c>
      <c r="U37">
        <f>I37/M37/Rg/Z*144</f>
        <v>0.36689969224137209</v>
      </c>
      <c r="V37">
        <f>U37*16.01846</f>
        <v>5.8771680441807295</v>
      </c>
      <c r="W37">
        <f>(Gam*I37/U37*gc*144)^0.5</f>
        <v>1204.7356909826754</v>
      </c>
      <c r="X37">
        <f>W37/3.28</f>
        <v>367.29746676301079</v>
      </c>
      <c r="Y37">
        <f>G37*W37</f>
        <v>818.34662920895562</v>
      </c>
      <c r="Z37">
        <f>Y37/3.28</f>
        <v>249.49592353931575</v>
      </c>
      <c r="AB37">
        <f>E37/$E$122</f>
        <v>0.80875767526008224</v>
      </c>
      <c r="AC37">
        <f>G37</f>
        <v>0.67927482794292326</v>
      </c>
      <c r="AD37">
        <f>I37/$I$3</f>
        <v>0.20839438751238232</v>
      </c>
      <c r="AE37">
        <f>K37/$K$3</f>
        <v>0.27954275302910098</v>
      </c>
      <c r="AF37">
        <f>M37/$M$3</f>
        <v>0.91950406079460167</v>
      </c>
      <c r="AG37">
        <f>U37/$U$3</f>
        <v>0.22663781096550623</v>
      </c>
      <c r="AH37">
        <f>Y37/$Y$3</f>
        <v>4.4123264151726103</v>
      </c>
    </row>
    <row r="38" spans="1:34" x14ac:dyDescent="0.25">
      <c r="A38" s="40" t="s">
        <v>127</v>
      </c>
      <c r="E38">
        <f>(1/Gam*(1/M_3^2-1/G38^2)+(Gam+1)/2/Gam*LN((M_3^2/G38^2)*(1+G38^2*(Gam-1)/2)/(1+M_3^2*(Gam-1)/2)))*D/f+L</f>
        <v>121.63643200332041</v>
      </c>
      <c r="F38">
        <f>E38/3.28</f>
        <v>37.084278049792808</v>
      </c>
      <c r="G38">
        <f>G37+0.01</f>
        <v>0.68927482794292327</v>
      </c>
      <c r="H38">
        <f>(Gam/Z/Rg)^0.5*G38*(1+G38^2*(Gam-1)/2)^(-(Gam+1)/2/(Gam-1))</f>
        <v>8.5037583453754492E-2</v>
      </c>
      <c r="I38">
        <f>K38/(1+(Gam-1)/2*G38^2)^(Gam/(Gam-1))</f>
        <v>80.80625135729872</v>
      </c>
      <c r="J38" s="21">
        <f>I38*6.89476</f>
        <v>557.13970960824895</v>
      </c>
      <c r="K38">
        <f>mdot*Q38^0.5/A/H38/gc^0.5/144</f>
        <v>111.02533220860147</v>
      </c>
      <c r="L38" s="21">
        <f>K38*6.89476</f>
        <v>765.49301949857704</v>
      </c>
      <c r="M38">
        <f>Q38/(1+(Gam-1)/2*G38^2)</f>
        <v>602.42737620355763</v>
      </c>
      <c r="N38">
        <f>M38/1.8</f>
        <v>334.6818756686431</v>
      </c>
      <c r="O38">
        <f>M38-'Example 7.3 - Pipe P1'!$C$8</f>
        <v>142.75737620355761</v>
      </c>
      <c r="P38">
        <f>N38-'Example 7.3 - Pipe P1'!$C$9</f>
        <v>61.531875668643124</v>
      </c>
      <c r="Q38">
        <f>Q37</f>
        <v>659.67000000000007</v>
      </c>
      <c r="R38">
        <f>R37</f>
        <v>366.48333333333335</v>
      </c>
      <c r="S38">
        <f>Q38-'Example 7.3 - Pipe P1'!$C$8</f>
        <v>200.00000000000006</v>
      </c>
      <c r="T38">
        <f>R38-'Example 7.3 - Pipe P1'!$C$9</f>
        <v>93.333333333333371</v>
      </c>
      <c r="U38">
        <f>I38/M38/Rg/Z*144</f>
        <v>0.3620294565149566</v>
      </c>
      <c r="V38">
        <f>U38*16.01846</f>
        <v>5.7991543680065725</v>
      </c>
      <c r="W38">
        <f>(Gam*I38/U38*gc*144)^0.5</f>
        <v>1203.2290771655541</v>
      </c>
      <c r="X38">
        <f>W38/3.28</f>
        <v>366.83813328218116</v>
      </c>
      <c r="Y38">
        <f>G38*W38</f>
        <v>829.35551513920973</v>
      </c>
      <c r="Z38">
        <f>Y38/3.28</f>
        <v>252.85229120097858</v>
      </c>
      <c r="AB38">
        <f>E38/$E$122</f>
        <v>0.81088350095974593</v>
      </c>
      <c r="AC38">
        <f>G38</f>
        <v>0.68927482794292327</v>
      </c>
      <c r="AD38">
        <f>I38/$I$3</f>
        <v>0.20511416940507313</v>
      </c>
      <c r="AE38">
        <f>K38/$K$3</f>
        <v>0.27756333052150367</v>
      </c>
      <c r="AF38">
        <f>M38/$M$3</f>
        <v>0.91720567900319772</v>
      </c>
      <c r="AG38">
        <f>U38/$U$3</f>
        <v>0.22362941497264544</v>
      </c>
      <c r="AH38">
        <f>Y38/$Y$3</f>
        <v>4.4716836562950384</v>
      </c>
    </row>
    <row r="39" spans="1:34" x14ac:dyDescent="0.25">
      <c r="A39" s="40" t="s">
        <v>127</v>
      </c>
      <c r="E39">
        <f>(1/Gam*(1/M_3^2-1/G39^2)+(Gam+1)/2/Gam*LN((M_3^2/G39^2)*(1+G39^2*(Gam-1)/2)/(1+M_3^2*(Gam-1)/2)))*D/f+L</f>
        <v>121.93307179178576</v>
      </c>
      <c r="F39">
        <f>E39/3.28</f>
        <v>37.174717009690781</v>
      </c>
      <c r="G39">
        <f>G38+0.01</f>
        <v>0.69927482794292328</v>
      </c>
      <c r="H39">
        <f>(Gam/Z/Rg)^0.5*G39*(1+G39^2*(Gam-1)/2)^(-(Gam+1)/2/(Gam-1))</f>
        <v>8.5618241583810775E-2</v>
      </c>
      <c r="I39">
        <f>K39/(1+(Gam-1)/2*G39^2)^(Gam/(Gam-1))</f>
        <v>79.54986917842696</v>
      </c>
      <c r="J39" s="21">
        <f>I39*6.89476</f>
        <v>548.47725601665104</v>
      </c>
      <c r="K39">
        <f>mdot*Q39^0.5/A/H39/gc^0.5/144</f>
        <v>110.27236460968135</v>
      </c>
      <c r="L39" s="21">
        <f>K39*6.89476</f>
        <v>760.3014886162465</v>
      </c>
      <c r="M39">
        <f>Q39/(1+(Gam-1)/2*G39^2)</f>
        <v>600.90341451940003</v>
      </c>
      <c r="N39">
        <f>M39/1.8</f>
        <v>333.83523028855558</v>
      </c>
      <c r="O39">
        <f>M39-'Example 7.3 - Pipe P1'!$C$8</f>
        <v>141.23341451940001</v>
      </c>
      <c r="P39">
        <f>N39-'Example 7.3 - Pipe P1'!$C$9</f>
        <v>60.685230288555601</v>
      </c>
      <c r="Q39">
        <f>Q38</f>
        <v>659.67000000000007</v>
      </c>
      <c r="R39">
        <f>R38</f>
        <v>366.48333333333335</v>
      </c>
      <c r="S39">
        <f>Q39-'Example 7.3 - Pipe P1'!$C$8</f>
        <v>200.00000000000006</v>
      </c>
      <c r="T39">
        <f>R39-'Example 7.3 - Pipe P1'!$C$9</f>
        <v>93.333333333333371</v>
      </c>
      <c r="U39">
        <f>I39/M39/Rg/Z*144</f>
        <v>0.35730446682498029</v>
      </c>
      <c r="V39">
        <f>U39*16.01846</f>
        <v>5.7234673096572743</v>
      </c>
      <c r="W39">
        <f>(Gam*I39/U39*gc*144)^0.5</f>
        <v>1201.7062080071623</v>
      </c>
      <c r="X39">
        <f>W39/3.28</f>
        <v>366.37384390462267</v>
      </c>
      <c r="Y39">
        <f>G39*W39</f>
        <v>840.32290184215117</v>
      </c>
      <c r="Z39">
        <f>Y39/3.28</f>
        <v>256.19600665919245</v>
      </c>
      <c r="AB39">
        <f>E39/$E$122</f>
        <v>0.81286103603072024</v>
      </c>
      <c r="AC39">
        <f>G39</f>
        <v>0.69927482794292328</v>
      </c>
      <c r="AD39">
        <f>I39/$I$3</f>
        <v>0.20192503758982353</v>
      </c>
      <c r="AE39">
        <f>K39/$K$3</f>
        <v>0.27568091152420338</v>
      </c>
      <c r="AF39">
        <f>M39/$M$3</f>
        <v>0.91488542204525303</v>
      </c>
      <c r="AG39">
        <f>U39/$U$3</f>
        <v>0.22071073898894814</v>
      </c>
      <c r="AH39">
        <f>Y39/$Y$3</f>
        <v>4.5308171436554963</v>
      </c>
    </row>
    <row r="40" spans="1:34" x14ac:dyDescent="0.25">
      <c r="A40" s="40" t="s">
        <v>127</v>
      </c>
      <c r="E40">
        <f>(1/Gam*(1/M_3^2-1/G40^2)+(Gam+1)/2/Gam*LN((M_3^2/G40^2)*(1+G40^2*(Gam-1)/2)/(1+M_3^2*(Gam-1)/2)))*D/f+L</f>
        <v>122.20887754201075</v>
      </c>
      <c r="F40">
        <f>E40/3.28</f>
        <v>37.258804128661815</v>
      </c>
      <c r="G40">
        <f>G39+0.01</f>
        <v>0.70927482794292329</v>
      </c>
      <c r="H40">
        <f>(Gam/Z/Rg)^0.5*G40*(1+G40^2*(Gam-1)/2)^(-(Gam+1)/2/(Gam-1))</f>
        <v>8.6177493668581753E-2</v>
      </c>
      <c r="I40">
        <f>K40/(1+(Gam-1)/2*G40^2)^(Gam/(Gam-1))</f>
        <v>78.327867265809701</v>
      </c>
      <c r="J40" s="21">
        <f>I40*6.89476</f>
        <v>540.05184610961408</v>
      </c>
      <c r="K40">
        <f>mdot*Q40^0.5/A/H40/gc^0.5/144</f>
        <v>109.55674795415692</v>
      </c>
      <c r="L40" s="21">
        <f>K40*6.89476</f>
        <v>755.36748352440293</v>
      </c>
      <c r="M40">
        <f>Q40/(1+(Gam-1)/2*G40^2)</f>
        <v>599.36535998341424</v>
      </c>
      <c r="N40">
        <f>M40/1.8</f>
        <v>332.98075554634124</v>
      </c>
      <c r="O40">
        <f>M40-'Example 7.3 - Pipe P1'!$C$8</f>
        <v>139.69535998341422</v>
      </c>
      <c r="P40">
        <f>N40-'Example 7.3 - Pipe P1'!$C$9</f>
        <v>59.830755546341265</v>
      </c>
      <c r="Q40">
        <f>Q39</f>
        <v>659.67000000000007</v>
      </c>
      <c r="R40">
        <f>R39</f>
        <v>366.48333333333335</v>
      </c>
      <c r="S40">
        <f>Q40-'Example 7.3 - Pipe P1'!$C$8</f>
        <v>200.00000000000006</v>
      </c>
      <c r="T40">
        <f>R40-'Example 7.3 - Pipe P1'!$C$9</f>
        <v>93.333333333333371</v>
      </c>
      <c r="U40">
        <f>I40/M40/Rg/Z*144</f>
        <v>0.35271855748741582</v>
      </c>
      <c r="V40">
        <f>U40*16.01846</f>
        <v>5.6500081043698716</v>
      </c>
      <c r="W40">
        <f>(Gam*I40/U40*gc*144)^0.5</f>
        <v>1200.1672968757364</v>
      </c>
      <c r="X40">
        <f>W40/3.28</f>
        <v>365.90466368162697</v>
      </c>
      <c r="Y40">
        <f>G40*W40</f>
        <v>851.24845299426124</v>
      </c>
      <c r="Z40">
        <f>Y40/3.28</f>
        <v>259.52696737629918</v>
      </c>
      <c r="AB40">
        <f>E40/$E$122</f>
        <v>0.8146996819745701</v>
      </c>
      <c r="AC40">
        <f>G40</f>
        <v>0.70927482794292329</v>
      </c>
      <c r="AD40">
        <f>I40/$I$3</f>
        <v>0.19882317476228548</v>
      </c>
      <c r="AE40">
        <f>K40/$K$3</f>
        <v>0.27389186988539227</v>
      </c>
      <c r="AF40">
        <f>M40/$M$3</f>
        <v>0.91254370848649524</v>
      </c>
      <c r="AG40">
        <f>U40/$U$3</f>
        <v>0.2178779744063381</v>
      </c>
      <c r="AH40">
        <f>Y40/$Y$3</f>
        <v>4.5897250638791958</v>
      </c>
    </row>
    <row r="41" spans="1:34" x14ac:dyDescent="0.25">
      <c r="A41" s="40" t="s">
        <v>127</v>
      </c>
      <c r="E41">
        <f>(1/Gam*(1/M_3^2-1/G41^2)+(Gam+1)/2/Gam*LN((M_3^2/G41^2)*(1+G41^2*(Gam-1)/2)/(1+M_3^2*(Gam-1)/2)))*D/f+L</f>
        <v>122.46515787332078</v>
      </c>
      <c r="F41">
        <f>E41/3.28</f>
        <v>37.336938376012434</v>
      </c>
      <c r="G41">
        <f>G40+0.01</f>
        <v>0.7192748279429233</v>
      </c>
      <c r="H41">
        <f>(Gam/Z/Rg)^0.5*G41*(1+G41^2*(Gam-1)/2)^(-(Gam+1)/2/(Gam-1))</f>
        <v>8.6715430267512522E-2</v>
      </c>
      <c r="I41">
        <f>K41/(1+(Gam-1)/2*G41^2)^(Gam/(Gam-1))</f>
        <v>77.138825442399323</v>
      </c>
      <c r="J41" s="21">
        <f>I41*6.89476</f>
        <v>531.85368810723719</v>
      </c>
      <c r="K41">
        <f>mdot*Q41^0.5/A/H41/gc^0.5/144</f>
        <v>108.87711591862916</v>
      </c>
      <c r="L41" s="21">
        <f>K41*6.89476</f>
        <v>750.6815837511275</v>
      </c>
      <c r="M41">
        <f>Q41/(1+(Gam-1)/2*G41^2)</f>
        <v>597.81348779029361</v>
      </c>
      <c r="N41">
        <f>M41/1.8</f>
        <v>332.11860432794089</v>
      </c>
      <c r="O41">
        <f>M41-'Example 7.3 - Pipe P1'!$C$8</f>
        <v>138.14348779029359</v>
      </c>
      <c r="P41">
        <f>N41-'Example 7.3 - Pipe P1'!$C$9</f>
        <v>58.968604327940909</v>
      </c>
      <c r="Q41">
        <f>Q40</f>
        <v>659.67000000000007</v>
      </c>
      <c r="R41">
        <f>R40</f>
        <v>366.48333333333335</v>
      </c>
      <c r="S41">
        <f>Q41-'Example 7.3 - Pipe P1'!$C$8</f>
        <v>200.00000000000006</v>
      </c>
      <c r="T41">
        <f>R41-'Example 7.3 - Pipe P1'!$C$9</f>
        <v>93.333333333333371</v>
      </c>
      <c r="U41">
        <f>I41/M41/Rg/Z*144</f>
        <v>0.34826590552685327</v>
      </c>
      <c r="V41">
        <f>U41*16.01846</f>
        <v>5.5786834770456784</v>
      </c>
      <c r="W41">
        <f>(Gam*I41/U41*gc*144)^0.5</f>
        <v>1198.6125578638046</v>
      </c>
      <c r="X41">
        <f>W41/3.28</f>
        <v>365.43065788530629</v>
      </c>
      <c r="Y41">
        <f>G41*W41</f>
        <v>862.13184132771528</v>
      </c>
      <c r="Z41">
        <f>Y41/3.28</f>
        <v>262.84507357552297</v>
      </c>
      <c r="AB41">
        <f>E41/$E$122</f>
        <v>0.81640816263991978</v>
      </c>
      <c r="AC41">
        <f>G41</f>
        <v>0.7192748279429233</v>
      </c>
      <c r="AD41">
        <f>I41/$I$3</f>
        <v>0.19580497602270636</v>
      </c>
      <c r="AE41">
        <f>K41/$K$3</f>
        <v>0.27219278979657291</v>
      </c>
      <c r="AF41">
        <f>M41/$M$3</f>
        <v>0.91018095731541226</v>
      </c>
      <c r="AG41">
        <f>U41/$U$3</f>
        <v>0.21512752431146778</v>
      </c>
      <c r="AH41">
        <f>Y41/$Y$3</f>
        <v>4.6484056524174537</v>
      </c>
    </row>
    <row r="42" spans="1:34" x14ac:dyDescent="0.25">
      <c r="A42" s="40" t="s">
        <v>127</v>
      </c>
      <c r="E42">
        <f>(1/Gam*(1/M_3^2-1/G42^2)+(Gam+1)/2/Gam*LN((M_3^2/G42^2)*(1+G42^2*(Gam-1)/2)/(1+M_3^2*(Gam-1)/2)))*D/f+L</f>
        <v>122.70312822614245</v>
      </c>
      <c r="F42">
        <f>E42/3.28</f>
        <v>37.409490312848312</v>
      </c>
      <c r="G42">
        <f>G41+0.01</f>
        <v>0.72927482794292331</v>
      </c>
      <c r="H42">
        <f>(Gam/Z/Rg)^0.5*G42*(1+G42^2*(Gam-1)/2)^(-(Gam+1)/2/(Gam-1))</f>
        <v>8.7232151311173275E-2</v>
      </c>
      <c r="I42">
        <f>K42/(1+(Gam-1)/2*G42^2)^(Gam/(Gam-1))</f>
        <v>75.981401467962471</v>
      </c>
      <c r="J42" s="21">
        <f>I42*6.89476</f>
        <v>523.87352758524889</v>
      </c>
      <c r="K42">
        <f>mdot*Q42^0.5/A/H42/gc^0.5/144</f>
        <v>108.23218058088241</v>
      </c>
      <c r="L42" s="21">
        <f>K42*6.89476</f>
        <v>746.23490938184477</v>
      </c>
      <c r="M42">
        <f>Q42/(1+(Gam-1)/2*G42^2)</f>
        <v>596.24807330937415</v>
      </c>
      <c r="N42">
        <f>M42/1.8</f>
        <v>331.24892961631895</v>
      </c>
      <c r="O42">
        <f>M42-'Example 7.3 - Pipe P1'!$C$8</f>
        <v>136.57807330937413</v>
      </c>
      <c r="P42">
        <f>N42-'Example 7.3 - Pipe P1'!$C$9</f>
        <v>58.098929616318969</v>
      </c>
      <c r="Q42">
        <f>Q41</f>
        <v>659.67000000000007</v>
      </c>
      <c r="R42">
        <f>R41</f>
        <v>366.48333333333335</v>
      </c>
      <c r="S42">
        <f>Q42-'Example 7.3 - Pipe P1'!$C$8</f>
        <v>200.00000000000006</v>
      </c>
      <c r="T42">
        <f>R42-'Example 7.3 - Pipe P1'!$C$9</f>
        <v>93.333333333333371</v>
      </c>
      <c r="U42">
        <f>I42/M42/Rg/Z*144</f>
        <v>0.34394100718466453</v>
      </c>
      <c r="V42">
        <f>U42*16.01846</f>
        <v>5.5094052659472617</v>
      </c>
      <c r="W42">
        <f>(Gam*I42/U42*gc*144)^0.5</f>
        <v>1197.0422057179217</v>
      </c>
      <c r="X42">
        <f>W42/3.28</f>
        <v>364.95189198717128</v>
      </c>
      <c r="Y42">
        <f>G42*W42</f>
        <v>872.9727486153547</v>
      </c>
      <c r="Z42">
        <f>Y42/3.28</f>
        <v>266.15022823638867</v>
      </c>
      <c r="AB42">
        <f>E42/$E$122</f>
        <v>0.81799458070268738</v>
      </c>
      <c r="AC42">
        <f>G42</f>
        <v>0.72927482794292331</v>
      </c>
      <c r="AD42">
        <f>I42/$I$3</f>
        <v>0.19286703430188068</v>
      </c>
      <c r="AE42">
        <f>K42/$K$3</f>
        <v>0.27058045145220605</v>
      </c>
      <c r="AF42">
        <f>M42/$M$3</f>
        <v>0.90779758778638864</v>
      </c>
      <c r="AG42">
        <f>U42/$U$3</f>
        <v>0.21245598897456386</v>
      </c>
      <c r="AH42">
        <f>Y42/$Y$3</f>
        <v>4.7068571934666616</v>
      </c>
    </row>
    <row r="43" spans="1:34" x14ac:dyDescent="0.25">
      <c r="A43" s="40" t="s">
        <v>127</v>
      </c>
      <c r="E43">
        <f>(1/Gam*(1/M_3^2-1/G43^2)+(Gam+1)/2/Gam*LN((M_3^2/G43^2)*(1+G43^2*(Gam-1)/2)/(1+M_3^2*(Gam-1)/2)))*D/f+L</f>
        <v>122.92391852858633</v>
      </c>
      <c r="F43">
        <f>E43/3.28</f>
        <v>37.47680442944705</v>
      </c>
      <c r="G43">
        <f>G42+0.01</f>
        <v>0.73927482794292332</v>
      </c>
      <c r="H43">
        <f>(Gam/Z/Rg)^0.5*G43*(1+G43^2*(Gam-1)/2)^(-(Gam+1)/2/(Gam-1))</f>
        <v>8.7727765860871235E-2</v>
      </c>
      <c r="I43">
        <f>K43/(1+(Gam-1)/2*G43^2)^(Gam/(Gam-1))</f>
        <v>74.854325763557227</v>
      </c>
      <c r="J43" s="21">
        <f>I43*6.89476</f>
        <v>516.10261110154386</v>
      </c>
      <c r="K43">
        <f>mdot*Q43^0.5/A/H43/gc^0.5/144</f>
        <v>107.62072714974758</v>
      </c>
      <c r="L43" s="21">
        <f>K43*6.89476</f>
        <v>742.01908472299363</v>
      </c>
      <c r="M43">
        <f>Q43/(1+(Gam-1)/2*G43^2)</f>
        <v>594.66939198309115</v>
      </c>
      <c r="N43">
        <f>M43/1.8</f>
        <v>330.37188443505062</v>
      </c>
      <c r="O43">
        <f>M43-'Example 7.3 - Pipe P1'!$C$8</f>
        <v>134.99939198309113</v>
      </c>
      <c r="P43">
        <f>N43-'Example 7.3 - Pipe P1'!$C$9</f>
        <v>57.22188443505064</v>
      </c>
      <c r="Q43">
        <f>Q42</f>
        <v>659.67000000000007</v>
      </c>
      <c r="R43">
        <f>R42</f>
        <v>366.48333333333335</v>
      </c>
      <c r="S43">
        <f>Q43-'Example 7.3 - Pipe P1'!$C$8</f>
        <v>200.00000000000006</v>
      </c>
      <c r="T43">
        <f>R43-'Example 7.3 - Pipe P1'!$C$9</f>
        <v>93.333333333333371</v>
      </c>
      <c r="U43">
        <f>I43/M43/Rg/Z*144</f>
        <v>0.33973865633377365</v>
      </c>
      <c r="V43">
        <f>U43*16.01846</f>
        <v>5.4420900769363003</v>
      </c>
      <c r="W43">
        <f>(Gam*I43/U43*gc*144)^0.5</f>
        <v>1195.456455769091</v>
      </c>
      <c r="X43">
        <f>W43/3.28</f>
        <v>364.46843163691801</v>
      </c>
      <c r="Y43">
        <f>G43*W43</f>
        <v>883.77086565195168</v>
      </c>
      <c r="Z43">
        <f>Y43/3.28</f>
        <v>269.4423370890097</v>
      </c>
      <c r="AB43">
        <f>E43/$E$122</f>
        <v>0.81946646877499418</v>
      </c>
      <c r="AC43">
        <f>G43</f>
        <v>0.73927482794292332</v>
      </c>
      <c r="AD43">
        <f>I43/$I$3</f>
        <v>0.19000612697005162</v>
      </c>
      <c r="AE43">
        <f>K43/$K$3</f>
        <v>0.26905181787436894</v>
      </c>
      <c r="AF43">
        <f>M43/$M$3</f>
        <v>0.90539401926510388</v>
      </c>
      <c r="AG43">
        <f>U43/$U$3</f>
        <v>0.20986015251600293</v>
      </c>
      <c r="AH43">
        <f>Y43/$Y$3</f>
        <v>4.7650780198672757</v>
      </c>
    </row>
    <row r="44" spans="1:34" x14ac:dyDescent="0.25">
      <c r="A44" s="40" t="s">
        <v>127</v>
      </c>
      <c r="E44">
        <f>(1/Gam*(1/M_3^2-1/G44^2)+(Gam+1)/2/Gam*LN((M_3^2/G44^2)*(1+G44^2*(Gam-1)/2)/(1+M_3^2*(Gam-1)/2)))*D/f+L</f>
        <v>123.12858014335467</v>
      </c>
      <c r="F44">
        <f>E44/3.28</f>
        <v>37.53920126321789</v>
      </c>
      <c r="G44">
        <f>G43+0.01</f>
        <v>0.74927482794292333</v>
      </c>
      <c r="H44">
        <f>(Gam/Z/Rg)^0.5*G44*(1+G44^2*(Gam-1)/2)^(-(Gam+1)/2/(Gam-1))</f>
        <v>8.820239186438264E-2</v>
      </c>
      <c r="I44">
        <f>K44/(1+(Gam-1)/2*G44^2)^(Gam/(Gam-1))</f>
        <v>73.756396558505301</v>
      </c>
      <c r="J44" s="21">
        <f>I44*6.89476</f>
        <v>508.53265273571998</v>
      </c>
      <c r="K44">
        <f>mdot*Q44^0.5/A/H44/gc^0.5/144</f>
        <v>107.04160911743146</v>
      </c>
      <c r="L44" s="21">
        <f>K44*6.89476</f>
        <v>738.02620487850174</v>
      </c>
      <c r="M44">
        <f>Q44/(1+(Gam-1)/2*G44^2)</f>
        <v>593.07771922697191</v>
      </c>
      <c r="N44">
        <f>M44/1.8</f>
        <v>329.48762179276218</v>
      </c>
      <c r="O44">
        <f>M44-'Example 7.3 - Pipe P1'!$C$8</f>
        <v>133.40771922697189</v>
      </c>
      <c r="P44">
        <f>N44-'Example 7.3 - Pipe P1'!$C$9</f>
        <v>56.337621792762206</v>
      </c>
      <c r="Q44">
        <f>Q43</f>
        <v>659.67000000000007</v>
      </c>
      <c r="R44">
        <f>R43</f>
        <v>366.48333333333335</v>
      </c>
      <c r="S44">
        <f>Q44-'Example 7.3 - Pipe P1'!$C$8</f>
        <v>200.00000000000006</v>
      </c>
      <c r="T44">
        <f>R44-'Example 7.3 - Pipe P1'!$C$9</f>
        <v>93.333333333333371</v>
      </c>
      <c r="U44">
        <f>I44/M44/Rg/Z*144</f>
        <v>0.33565392462190369</v>
      </c>
      <c r="V44">
        <f>U44*16.01846</f>
        <v>5.3766589653989794</v>
      </c>
      <c r="W44">
        <f>(Gam*I44/U44*gc*144)^0.5</f>
        <v>1193.8555238639217</v>
      </c>
      <c r="X44">
        <f>W44/3.28</f>
        <v>363.98034264143956</v>
      </c>
      <c r="Y44">
        <f>G44*W44</f>
        <v>894.5258922318485</v>
      </c>
      <c r="Z44">
        <f>Y44/3.28</f>
        <v>272.72130860727088</v>
      </c>
      <c r="AB44">
        <f>E44/$E$122</f>
        <v>0.82083083571639626</v>
      </c>
      <c r="AC44">
        <f>G44</f>
        <v>0.74927482794292333</v>
      </c>
      <c r="AD44">
        <f>I44/$I$3</f>
        <v>0.18721920351825042</v>
      </c>
      <c r="AE44">
        <f>K44/$K$3</f>
        <v>0.26760402279357864</v>
      </c>
      <c r="AF44">
        <f>M44/$M$3</f>
        <v>0.90297067107626938</v>
      </c>
      <c r="AG44">
        <f>U44/$U$3</f>
        <v>0.20733697064058568</v>
      </c>
      <c r="AH44">
        <f>Y44/$Y$3</f>
        <v>4.8230665129832477</v>
      </c>
    </row>
    <row r="45" spans="1:34" x14ac:dyDescent="0.25">
      <c r="A45" s="40" t="s">
        <v>127</v>
      </c>
      <c r="E45">
        <f>(1/Gam*(1/M_3^2-1/G45^2)+(Gam+1)/2/Gam*LN((M_3^2/G45^2)*(1+G45^2*(Gam-1)/2)/(1+M_3^2*(Gam-1)/2)))*D/f+L</f>
        <v>123.31809217084418</v>
      </c>
      <c r="F45">
        <f>E45/3.28</f>
        <v>37.596979320379326</v>
      </c>
      <c r="G45">
        <f>G44+0.01</f>
        <v>0.75927482794292334</v>
      </c>
      <c r="H45">
        <f>(Gam/Z/Rg)^0.5*G45*(1+G45^2*(Gam-1)/2)^(-(Gam+1)/2/(Gam-1))</f>
        <v>8.8656155908199724E-2</v>
      </c>
      <c r="I45">
        <f>K45/(1+(Gam-1)/2*G45^2)^(Gam/(Gam-1))</f>
        <v>72.686475420910512</v>
      </c>
      <c r="J45" s="21">
        <f>I45*6.89476</f>
        <v>501.15580327307697</v>
      </c>
      <c r="K45">
        <f>mdot*Q45^0.5/A/H45/gc^0.5/144</f>
        <v>106.49374379536509</v>
      </c>
      <c r="L45" s="21">
        <f>K45*6.89476</f>
        <v>734.24880497053141</v>
      </c>
      <c r="M45">
        <f>Q45/(1+(Gam-1)/2*G45^2)</f>
        <v>591.47333033121379</v>
      </c>
      <c r="N45">
        <f>M45/1.8</f>
        <v>328.59629462845209</v>
      </c>
      <c r="O45">
        <f>M45-'Example 7.3 - Pipe P1'!$C$8</f>
        <v>131.80333033121377</v>
      </c>
      <c r="P45">
        <f>N45-'Example 7.3 - Pipe P1'!$C$9</f>
        <v>55.446294628452108</v>
      </c>
      <c r="Q45">
        <f>Q44</f>
        <v>659.67000000000007</v>
      </c>
      <c r="R45">
        <f>R44</f>
        <v>366.48333333333335</v>
      </c>
      <c r="S45">
        <f>Q45-'Example 7.3 - Pipe P1'!$C$8</f>
        <v>200.00000000000006</v>
      </c>
      <c r="T45">
        <f>R45-'Example 7.3 - Pipe P1'!$C$9</f>
        <v>93.333333333333371</v>
      </c>
      <c r="U45">
        <f>I45/M45/Rg/Z*144</f>
        <v>0.33168214318394884</v>
      </c>
      <c r="V45">
        <f>U45*16.01846</f>
        <v>5.3130371433063575</v>
      </c>
      <c r="W45">
        <f>(Gam*I45/U45*gc*144)^0.5</f>
        <v>1192.2396262965419</v>
      </c>
      <c r="X45">
        <f>W45/3.28</f>
        <v>363.48769094406771</v>
      </c>
      <c r="Y45">
        <f>G45*W45</f>
        <v>905.2375371230421</v>
      </c>
      <c r="Z45">
        <f>Y45/3.28</f>
        <v>275.98705400092751</v>
      </c>
      <c r="AB45">
        <f>E45/$E$122</f>
        <v>0.82209420865321892</v>
      </c>
      <c r="AC45">
        <f>G45</f>
        <v>0.75927482794292334</v>
      </c>
      <c r="AD45">
        <f>I45/$I$3</f>
        <v>0.18450337421320911</v>
      </c>
      <c r="AE45">
        <f>K45/$K$3</f>
        <v>0.26623435948841273</v>
      </c>
      <c r="AF45">
        <f>M45/$M$3</f>
        <v>0.90052796235377963</v>
      </c>
      <c r="AG45">
        <f>U45/$U$3</f>
        <v>0.20488355934107624</v>
      </c>
      <c r="AH45">
        <f>Y45/$Y$3</f>
        <v>4.8808211025622983</v>
      </c>
    </row>
    <row r="46" spans="1:34" x14ac:dyDescent="0.25">
      <c r="A46" s="40" t="s">
        <v>127</v>
      </c>
      <c r="E46">
        <f>(1/Gam*(1/M_3^2-1/G46^2)+(Gam+1)/2/Gam*LN((M_3^2/G46^2)*(1+G46^2*(Gam-1)/2)/(1+M_3^2*(Gam-1)/2)))*D/f+L</f>
        <v>123.49336717545305</v>
      </c>
      <c r="F46">
        <f>E46/3.28</f>
        <v>37.650416821784468</v>
      </c>
      <c r="G46">
        <f>G45+0.01</f>
        <v>0.76927482794292334</v>
      </c>
      <c r="H46">
        <f>(Gam/Z/Rg)^0.5*G46*(1+G46^2*(Gam-1)/2)^(-(Gam+1)/2/(Gam-1))</f>
        <v>8.9089192966684688E-2</v>
      </c>
      <c r="I46">
        <f>K46/(1+(Gam-1)/2*G46^2)^(Gam/(Gam-1))</f>
        <v>71.643483136824202</v>
      </c>
      <c r="J46" s="21">
        <f>I46*6.89476</f>
        <v>493.96462179245003</v>
      </c>
      <c r="K46">
        <f>mdot*Q46^0.5/A/H46/gc^0.5/144</f>
        <v>105.97610819867221</v>
      </c>
      <c r="L46" s="21">
        <f>K46*6.89476</f>
        <v>730.67983176387713</v>
      </c>
      <c r="M46">
        <f>Q46/(1+(Gam-1)/2*G46^2)</f>
        <v>589.85650036388893</v>
      </c>
      <c r="N46">
        <f>M46/1.8</f>
        <v>327.69805575771608</v>
      </c>
      <c r="O46">
        <f>M46-'Example 7.3 - Pipe P1'!$C$8</f>
        <v>130.18650036388891</v>
      </c>
      <c r="P46">
        <f>N46-'Example 7.3 - Pipe P1'!$C$9</f>
        <v>54.548055757716099</v>
      </c>
      <c r="Q46">
        <f>Q45</f>
        <v>659.67000000000007</v>
      </c>
      <c r="R46">
        <f>R45</f>
        <v>366.48333333333335</v>
      </c>
      <c r="S46">
        <f>Q46-'Example 7.3 - Pipe P1'!$C$8</f>
        <v>200.00000000000006</v>
      </c>
      <c r="T46">
        <f>R46-'Example 7.3 - Pipe P1'!$C$9</f>
        <v>93.333333333333371</v>
      </c>
      <c r="U46">
        <f>I46/M46/Rg/Z*144</f>
        <v>0.32781888578068608</v>
      </c>
      <c r="V46">
        <f>U46*16.01846</f>
        <v>5.2511537091224891</v>
      </c>
      <c r="W46">
        <f>(Gam*I46/U46*gc*144)^0.5</f>
        <v>1190.608979741301</v>
      </c>
      <c r="X46">
        <f>W46/3.28</f>
        <v>362.99054260405524</v>
      </c>
      <c r="Y46">
        <f>G46*W46</f>
        <v>915.90551803778885</v>
      </c>
      <c r="Z46">
        <f>Y46/3.28</f>
        <v>279.23948720664293</v>
      </c>
      <c r="AB46">
        <f>E46/$E$122</f>
        <v>0.82326267115271168</v>
      </c>
      <c r="AC46">
        <f>G46</f>
        <v>0.76927482794292334</v>
      </c>
      <c r="AD46">
        <f>I46/$I$3</f>
        <v>0.18185589963725923</v>
      </c>
      <c r="AE46">
        <f>K46/$K$3</f>
        <v>0.26494027049668051</v>
      </c>
      <c r="AF46">
        <f>M46/$M$3</f>
        <v>0.89806631189333996</v>
      </c>
      <c r="AG46">
        <f>U46/$U$3</f>
        <v>0.20249718448280637</v>
      </c>
      <c r="AH46">
        <f>Y46/$Y$3</f>
        <v>4.9383402665774225</v>
      </c>
    </row>
    <row r="47" spans="1:34" x14ac:dyDescent="0.25">
      <c r="A47" s="40" t="s">
        <v>127</v>
      </c>
      <c r="E47">
        <f>(1/Gam*(1/M_3^2-1/G47^2)+(Gam+1)/2/Gam*LN((M_3^2/G47^2)*(1+G47^2*(Gam-1)/2)/(1+M_3^2*(Gam-1)/2)))*D/f+L</f>
        <v>123.65525639437476</v>
      </c>
      <c r="F47">
        <f>E47/3.28</f>
        <v>37.699773290967919</v>
      </c>
      <c r="G47">
        <f>G46+0.01</f>
        <v>0.77927482794292335</v>
      </c>
      <c r="H47">
        <f>(Gam/Z/Rg)^0.5*G47*(1+G47^2*(Gam-1)/2)^(-(Gam+1)/2/(Gam-1))</f>
        <v>8.9501646148516703E-2</v>
      </c>
      <c r="I47">
        <f>K47/(1+(Gam-1)/2*G47^2)^(Gam/(Gam-1))</f>
        <v>70.626395906741806</v>
      </c>
      <c r="J47" s="21">
        <f>I47*6.89476</f>
        <v>486.95204944196712</v>
      </c>
      <c r="K47">
        <f>mdot*Q47^0.5/A/H47/gc^0.5/144</f>
        <v>105.48773524794252</v>
      </c>
      <c r="L47" s="21">
        <f>K47*6.89476</f>
        <v>727.31261747810413</v>
      </c>
      <c r="M47">
        <f>Q47/(1+(Gam-1)/2*G47^2)</f>
        <v>588.22750407582157</v>
      </c>
      <c r="N47">
        <f>M47/1.8</f>
        <v>326.79305781990087</v>
      </c>
      <c r="O47">
        <f>M47-'Example 7.3 - Pipe P1'!$C$8</f>
        <v>128.55750407582156</v>
      </c>
      <c r="P47">
        <f>N47-'Example 7.3 - Pipe P1'!$C$9</f>
        <v>53.643057819900889</v>
      </c>
      <c r="Q47">
        <f>Q46</f>
        <v>659.67000000000007</v>
      </c>
      <c r="R47">
        <f>R46</f>
        <v>366.48333333333335</v>
      </c>
      <c r="S47">
        <f>Q47-'Example 7.3 - Pipe P1'!$C$8</f>
        <v>200.00000000000006</v>
      </c>
      <c r="T47">
        <f>R47-'Example 7.3 - Pipe P1'!$C$9</f>
        <v>93.333333333333371</v>
      </c>
      <c r="U47">
        <f>I47/M47/Rg/Z*144</f>
        <v>0.32405995323570036</v>
      </c>
      <c r="V47">
        <f>U47*16.01846</f>
        <v>5.1909413985079373</v>
      </c>
      <c r="W47">
        <f>(Gam*I47/U47*gc*144)^0.5</f>
        <v>1188.9638011862965</v>
      </c>
      <c r="X47">
        <f>W47/3.28</f>
        <v>362.4889637763099</v>
      </c>
      <c r="Y47">
        <f>G47*W47</f>
        <v>926.52956159981534</v>
      </c>
      <c r="Z47">
        <f>Y47/3.28</f>
        <v>282.47852487799247</v>
      </c>
      <c r="AB47">
        <f>E47/$E$122</f>
        <v>0.82434189794722412</v>
      </c>
      <c r="AC47">
        <f>G47</f>
        <v>0.77927482794292335</v>
      </c>
      <c r="AD47">
        <f>I47/$I$3</f>
        <v>0.17927418103372678</v>
      </c>
      <c r="AE47">
        <f>K47/$K$3</f>
        <v>0.26371933811985632</v>
      </c>
      <c r="AF47">
        <f>M47/$M$3</f>
        <v>0.89558613800764053</v>
      </c>
      <c r="AG47">
        <f>U47/$U$3</f>
        <v>0.20017525219020008</v>
      </c>
      <c r="AH47">
        <f>Y47/$Y$3</f>
        <v>4.9956225310501035</v>
      </c>
    </row>
    <row r="48" spans="1:34" x14ac:dyDescent="0.25">
      <c r="A48" s="40" t="s">
        <v>127</v>
      </c>
      <c r="E48">
        <f>(1/Gam*(1/M_3^2-1/G48^2)+(Gam+1)/2/Gam*LN((M_3^2/G48^2)*(1+G48^2*(Gam-1)/2)/(1+M_3^2*(Gam-1)/2)))*D/f+L</f>
        <v>123.80455448140989</v>
      </c>
      <c r="F48">
        <f>E48/3.28</f>
        <v>37.745291000429852</v>
      </c>
      <c r="G48">
        <f>G47+0.01</f>
        <v>0.78927482794292336</v>
      </c>
      <c r="H48">
        <f>(Gam/Z/Rg)^0.5*G48*(1+G48^2*(Gam-1)/2)^(-(Gam+1)/2/(Gam-1))</f>
        <v>8.9893666440811454E-2</v>
      </c>
      <c r="I48">
        <f>K48/(1+(Gam-1)/2*G48^2)^(Gam/(Gam-1))</f>
        <v>69.634241831288122</v>
      </c>
      <c r="J48" s="21">
        <f>I48*6.89476</f>
        <v>480.11138520869207</v>
      </c>
      <c r="K48">
        <f>mdot*Q48^0.5/A/H48/gc^0.5/144</f>
        <v>105.02771026016836</v>
      </c>
      <c r="L48" s="21">
        <f>K48*6.89476</f>
        <v>724.14085559339844</v>
      </c>
      <c r="M48">
        <f>Q48/(1+(Gam-1)/2*G48^2)</f>
        <v>586.58661580717535</v>
      </c>
      <c r="N48">
        <f>M48/1.8</f>
        <v>325.88145322620852</v>
      </c>
      <c r="O48">
        <f>M48-'Example 7.3 - Pipe P1'!$C$8</f>
        <v>126.91661580717533</v>
      </c>
      <c r="P48">
        <f>N48-'Example 7.3 - Pipe P1'!$C$9</f>
        <v>52.731453226208544</v>
      </c>
      <c r="Q48">
        <f>Q47</f>
        <v>659.67000000000007</v>
      </c>
      <c r="R48">
        <f>R47</f>
        <v>366.48333333333335</v>
      </c>
      <c r="S48">
        <f>Q48-'Example 7.3 - Pipe P1'!$C$8</f>
        <v>200.00000000000006</v>
      </c>
      <c r="T48">
        <f>R48-'Example 7.3 - Pipe P1'!$C$9</f>
        <v>93.333333333333371</v>
      </c>
      <c r="U48">
        <f>I48/M48/Rg/Z*144</f>
        <v>0.32040135905538503</v>
      </c>
      <c r="V48">
        <f>U48*16.01846</f>
        <v>5.1323363539743232</v>
      </c>
      <c r="W48">
        <f>(Gam*I48/U48*gc*144)^0.5</f>
        <v>1187.3043078677445</v>
      </c>
      <c r="X48">
        <f>W48/3.28</f>
        <v>361.98302069138555</v>
      </c>
      <c r="Y48">
        <f>G48*W48</f>
        <v>937.10940330820574</v>
      </c>
      <c r="Z48">
        <f>Y48/3.28</f>
        <v>285.70408637445297</v>
      </c>
      <c r="AB48">
        <f>E48/$E$122</f>
        <v>0.82533718655860278</v>
      </c>
      <c r="AC48">
        <f>G48</f>
        <v>0.78927482794292336</v>
      </c>
      <c r="AD48">
        <f>I48/$I$3</f>
        <v>0.17675575138638788</v>
      </c>
      <c r="AE48">
        <f>K48/$K$3</f>
        <v>0.26256927565042093</v>
      </c>
      <c r="AF48">
        <f>M48/$M$3</f>
        <v>0.89308785838413374</v>
      </c>
      <c r="AG48">
        <f>U48/$U$3</f>
        <v>0.19791529996409593</v>
      </c>
      <c r="AH48">
        <f>Y48/$Y$3</f>
        <v>5.0526664698555948</v>
      </c>
    </row>
    <row r="49" spans="1:34" x14ac:dyDescent="0.25">
      <c r="A49" s="40" t="s">
        <v>127</v>
      </c>
      <c r="E49">
        <f>(1/Gam*(1/M_3^2-1/G49^2)+(Gam+1)/2/Gam*LN((M_3^2/G49^2)*(1+G49^2*(Gam-1)/2)/(1+M_3^2*(Gam-1)/2)))*D/f+L</f>
        <v>123.94200383241846</v>
      </c>
      <c r="F49">
        <f>E49/3.28</f>
        <v>37.787196290371483</v>
      </c>
      <c r="G49">
        <f>G48+0.01</f>
        <v>0.79927482794292337</v>
      </c>
      <c r="H49">
        <f>(Gam/Z/Rg)^0.5*G49*(1+G49^2*(Gam-1)/2)^(-(Gam+1)/2/(Gam-1))</f>
        <v>9.0265412451287205E-2</v>
      </c>
      <c r="I49">
        <f>K49/(1+(Gam-1)/2*G49^2)^(Gam/(Gam-1))</f>
        <v>68.666097660766169</v>
      </c>
      <c r="J49" s="21">
        <f>I49*6.89476</f>
        <v>473.43626350754414</v>
      </c>
      <c r="K49">
        <f>mdot*Q49^0.5/A/H49/gc^0.5/144</f>
        <v>104.59516770351973</v>
      </c>
      <c r="L49" s="21">
        <f>K49*6.89476</f>
        <v>721.15857847551968</v>
      </c>
      <c r="M49">
        <f>Q49/(1+(Gam-1)/2*G49^2)</f>
        <v>584.93410939578814</v>
      </c>
      <c r="N49">
        <f>M49/1.8</f>
        <v>324.96339410877118</v>
      </c>
      <c r="O49">
        <f>M49-'Example 7.3 - Pipe P1'!$C$8</f>
        <v>125.26410939578813</v>
      </c>
      <c r="P49">
        <f>N49-'Example 7.3 - Pipe P1'!$C$9</f>
        <v>51.813394108771206</v>
      </c>
      <c r="Q49">
        <f>Q48</f>
        <v>659.67000000000007</v>
      </c>
      <c r="R49">
        <f>R48</f>
        <v>366.48333333333335</v>
      </c>
      <c r="S49">
        <f>Q49-'Example 7.3 - Pipe P1'!$C$8</f>
        <v>200.00000000000006</v>
      </c>
      <c r="T49">
        <f>R49-'Example 7.3 - Pipe P1'!$C$9</f>
        <v>93.333333333333371</v>
      </c>
      <c r="U49">
        <f>I49/M49/Rg/Z*144</f>
        <v>0.31683931612840344</v>
      </c>
      <c r="V49">
        <f>U49*16.01846</f>
        <v>5.0752779118301854</v>
      </c>
      <c r="W49">
        <f>(Gam*I49/U49*gc*144)^0.5</f>
        <v>1185.6307172052304</v>
      </c>
      <c r="X49">
        <f>W49/3.28</f>
        <v>361.47277963574101</v>
      </c>
      <c r="Y49">
        <f>G49*W49</f>
        <v>947.64478749805539</v>
      </c>
      <c r="Z49">
        <f>Y49/3.28</f>
        <v>288.91609374940714</v>
      </c>
      <c r="AB49">
        <f>E49/$E$122</f>
        <v>0.8262534861336136</v>
      </c>
      <c r="AC49">
        <f>G49</f>
        <v>0.79927482794292337</v>
      </c>
      <c r="AD49">
        <f>I49/$I$3</f>
        <v>0.17429826716870134</v>
      </c>
      <c r="AE49">
        <f>K49/$K$3</f>
        <v>0.26148791925879933</v>
      </c>
      <c r="AF49">
        <f>M49/$M$3</f>
        <v>0.89057188994547265</v>
      </c>
      <c r="AG49">
        <f>U49/$U$3</f>
        <v>0.19571498846586449</v>
      </c>
      <c r="AH49">
        <f>Y49/$Y$3</f>
        <v>5.1094707045107803</v>
      </c>
    </row>
    <row r="50" spans="1:34" x14ac:dyDescent="0.25">
      <c r="A50" s="40" t="s">
        <v>127</v>
      </c>
      <c r="E50">
        <f>(1/Gam*(1/M_3^2-1/G50^2)+(Gam+1)/2/Gam*LN((M_3^2/G50^2)*(1+G50^2*(Gam-1)/2)/(1+M_3^2*(Gam-1)/2)))*D/f+L</f>
        <v>124.06829853385507</v>
      </c>
      <c r="F50">
        <f>E50/3.28</f>
        <v>37.82570077251679</v>
      </c>
      <c r="G50">
        <f>G49+0.01</f>
        <v>0.80927482794292338</v>
      </c>
      <c r="H50">
        <f>(Gam/Z/Rg)^0.5*G50*(1+G50^2*(Gam-1)/2)^(-(Gam+1)/2/(Gam-1))</f>
        <v>9.0617050148843428E-2</v>
      </c>
      <c r="I50">
        <f>K50/(1+(Gam-1)/2*G50^2)^(Gam/(Gam-1))</f>
        <v>67.721085785747348</v>
      </c>
      <c r="J50" s="21">
        <f>I50*6.89476</f>
        <v>466.92063343213937</v>
      </c>
      <c r="K50">
        <f>mdot*Q50^0.5/A/H50/gc^0.5/144</f>
        <v>104.18928819313665</v>
      </c>
      <c r="L50" s="21">
        <f>K50*6.89476</f>
        <v>718.36013666251085</v>
      </c>
      <c r="M50">
        <f>Q50/(1+(Gam-1)/2*G50^2)</f>
        <v>583.27025808728945</v>
      </c>
      <c r="N50">
        <f>M50/1.8</f>
        <v>324.03903227071635</v>
      </c>
      <c r="O50">
        <f>M50-'Example 7.3 - Pipe P1'!$C$8</f>
        <v>123.60025808728943</v>
      </c>
      <c r="P50">
        <f>N50-'Example 7.3 - Pipe P1'!$C$9</f>
        <v>50.88903227071637</v>
      </c>
      <c r="Q50">
        <f>Q49</f>
        <v>659.67000000000007</v>
      </c>
      <c r="R50">
        <f>R49</f>
        <v>366.48333333333335</v>
      </c>
      <c r="S50">
        <f>Q50-'Example 7.3 - Pipe P1'!$C$8</f>
        <v>200.00000000000006</v>
      </c>
      <c r="T50">
        <f>R50-'Example 7.3 - Pipe P1'!$C$9</f>
        <v>93.333333333333371</v>
      </c>
      <c r="U50">
        <f>I50/M50/Rg/Z*144</f>
        <v>0.31337022441123835</v>
      </c>
      <c r="V50">
        <f>U50*16.01846</f>
        <v>5.0197084049224454</v>
      </c>
      <c r="W50">
        <f>(Gam*I50/U50*gc*144)^0.5</f>
        <v>1183.943246737857</v>
      </c>
      <c r="X50">
        <f>W50/3.28</f>
        <v>360.9583069322735</v>
      </c>
      <c r="Y50">
        <f>G50*W50</f>
        <v>958.13546729796531</v>
      </c>
      <c r="Z50">
        <f>Y50/3.28</f>
        <v>292.11447173718454</v>
      </c>
      <c r="AB50">
        <f>E50/$E$122</f>
        <v>0.82709542376666412</v>
      </c>
      <c r="AC50">
        <f>G50</f>
        <v>0.80927482794292338</v>
      </c>
      <c r="AD50">
        <f>I50/$I$3</f>
        <v>0.1718995007048873</v>
      </c>
      <c r="AE50">
        <f>K50/$K$3</f>
        <v>0.26047322048284161</v>
      </c>
      <c r="AF50">
        <f>M50/$M$3</f>
        <v>0.88803864871266347</v>
      </c>
      <c r="AG50">
        <f>U50/$U$3</f>
        <v>0.19357209391064195</v>
      </c>
      <c r="AH50">
        <f>Y50/$Y$3</f>
        <v>5.1660339039449905</v>
      </c>
    </row>
    <row r="51" spans="1:34" x14ac:dyDescent="0.25">
      <c r="A51" s="40" t="s">
        <v>127</v>
      </c>
      <c r="E51">
        <f>(1/Gam*(1/M_3^2-1/G51^2)+(Gam+1)/2/Gam*LN((M_3^2/G51^2)*(1+G51^2*(Gam-1)/2)/(1+M_3^2*(Gam-1)/2)))*D/f+L</f>
        <v>124.18408797127914</v>
      </c>
      <c r="F51">
        <f>E51/3.28</f>
        <v>37.86100243026803</v>
      </c>
      <c r="G51">
        <f>G50+0.01</f>
        <v>0.81927482794292339</v>
      </c>
      <c r="H51">
        <f>(Gam/Z/Rg)^0.5*G51*(1+G51^2*(Gam-1)/2)^(-(Gam+1)/2/(Gam-1))</f>
        <v>9.0948752602910229E-2</v>
      </c>
      <c r="I51">
        <f>K51/(1+(Gam-1)/2*G51^2)^(Gam/(Gam-1))</f>
        <v>66.798371448109648</v>
      </c>
      <c r="J51" s="21">
        <f>I51*6.89476</f>
        <v>460.55873952556846</v>
      </c>
      <c r="K51">
        <f>mdot*Q51^0.5/A/H51/gc^0.5/144</f>
        <v>103.80929570734602</v>
      </c>
      <c r="L51" s="21">
        <f>K51*6.89476</f>
        <v>715.74017967118107</v>
      </c>
      <c r="M51">
        <f>Q51/(1+(Gam-1)/2*G51^2)</f>
        <v>581.59533444703254</v>
      </c>
      <c r="N51">
        <f>M51/1.8</f>
        <v>323.10851913724031</v>
      </c>
      <c r="O51">
        <f>M51-'Example 7.3 - Pipe P1'!$C$8</f>
        <v>121.92533444703253</v>
      </c>
      <c r="P51">
        <f>N51-'Example 7.3 - Pipe P1'!$C$9</f>
        <v>49.95851913724033</v>
      </c>
      <c r="Q51">
        <f>Q50</f>
        <v>659.67000000000007</v>
      </c>
      <c r="R51">
        <f>R50</f>
        <v>366.48333333333335</v>
      </c>
      <c r="S51">
        <f>Q51-'Example 7.3 - Pipe P1'!$C$8</f>
        <v>200.00000000000006</v>
      </c>
      <c r="T51">
        <f>R51-'Example 7.3 - Pipe P1'!$C$9</f>
        <v>93.333333333333371</v>
      </c>
      <c r="U51">
        <f>I51/M51/Rg/Z*144</f>
        <v>0.30999065951557664</v>
      </c>
      <c r="V51">
        <f>U51*16.01846</f>
        <v>4.9655729798238841</v>
      </c>
      <c r="W51">
        <f>(Gam*I51/U51*gc*144)^0.5</f>
        <v>1182.2421140613192</v>
      </c>
      <c r="X51">
        <f>W51/3.28</f>
        <v>360.43966892113389</v>
      </c>
      <c r="Y51">
        <f>G51*W51</f>
        <v>968.58120458446524</v>
      </c>
      <c r="Z51">
        <f>Y51/3.28</f>
        <v>295.29914773916624</v>
      </c>
      <c r="AB51">
        <f>E51/$E$122</f>
        <v>0.82786732855576561</v>
      </c>
      <c r="AC51">
        <f>G51</f>
        <v>0.81927482794292339</v>
      </c>
      <c r="AD51">
        <f>I51/$I$3</f>
        <v>0.16955733309057913</v>
      </c>
      <c r="AE51">
        <f>K51/$K$3</f>
        <v>0.25952323926836507</v>
      </c>
      <c r="AF51">
        <f>M51/$M$3</f>
        <v>0.88548854967098045</v>
      </c>
      <c r="AG51">
        <f>U51/$U$3</f>
        <v>0.19148450101763742</v>
      </c>
      <c r="AH51">
        <f>Y51/$Y$3</f>
        <v>5.222354784254267</v>
      </c>
    </row>
    <row r="52" spans="1:34" x14ac:dyDescent="0.25">
      <c r="A52" s="40" t="s">
        <v>127</v>
      </c>
      <c r="E52">
        <f>(1/Gam*(1/M_3^2-1/G52^2)+(Gam+1)/2/Gam*LN((M_3^2/G52^2)*(1+G52^2*(Gam-1)/2)/(1+M_3^2*(Gam-1)/2)))*D/f+L</f>
        <v>124.28998013073056</v>
      </c>
      <c r="F52">
        <f>E52/3.28</f>
        <v>37.893286625222736</v>
      </c>
      <c r="G52">
        <f>G51+0.01</f>
        <v>0.8292748279429234</v>
      </c>
      <c r="H52">
        <f>(Gam/Z/Rg)^0.5*G52*(1+G52^2*(Gam-1)/2)^(-(Gam+1)/2/(Gam-1))</f>
        <v>9.1260699721920052E-2</v>
      </c>
      <c r="I52">
        <f>K52/(1+(Gam-1)/2*G52^2)^(Gam/(Gam-1))</f>
        <v>65.897160153916786</v>
      </c>
      <c r="J52" s="21">
        <f>I52*6.89476</f>
        <v>454.34510394281926</v>
      </c>
      <c r="K52">
        <f>mdot*Q52^0.5/A/H52/gc^0.5/144</f>
        <v>103.45445500569657</v>
      </c>
      <c r="L52" s="21">
        <f>K52*6.89476</f>
        <v>713.29363819507648</v>
      </c>
      <c r="M52">
        <f>Q52/(1+(Gam-1)/2*G52^2)</f>
        <v>579.90961027386993</v>
      </c>
      <c r="N52">
        <f>M52/1.8</f>
        <v>322.17200570770552</v>
      </c>
      <c r="O52">
        <f>M52-'Example 7.3 - Pipe P1'!$C$8</f>
        <v>120.23961027386991</v>
      </c>
      <c r="P52">
        <f>N52-'Example 7.3 - Pipe P1'!$C$9</f>
        <v>49.022005707705546</v>
      </c>
      <c r="Q52">
        <f>Q51</f>
        <v>659.67000000000007</v>
      </c>
      <c r="R52">
        <f>R51</f>
        <v>366.48333333333335</v>
      </c>
      <c r="S52">
        <f>Q52-'Example 7.3 - Pipe P1'!$C$8</f>
        <v>200.00000000000006</v>
      </c>
      <c r="T52">
        <f>R52-'Example 7.3 - Pipe P1'!$C$9</f>
        <v>93.333333333333371</v>
      </c>
      <c r="U52">
        <f>I52/M52/Rg/Z*144</f>
        <v>0.30669736212140214</v>
      </c>
      <c r="V52">
        <f>U52*16.01846</f>
        <v>4.9128194272471957</v>
      </c>
      <c r="W52">
        <f>(Gam*I52/U52*gc*144)^0.5</f>
        <v>1180.5275367659285</v>
      </c>
      <c r="X52">
        <f>W52/3.28</f>
        <v>359.91693194083189</v>
      </c>
      <c r="Y52">
        <f>G52*W52</f>
        <v>978.9817699334485</v>
      </c>
      <c r="Z52">
        <f>Y52/3.28</f>
        <v>298.47005180897821</v>
      </c>
      <c r="AB52">
        <f>E52/$E$122</f>
        <v>0.82857325361099754</v>
      </c>
      <c r="AC52">
        <f>G52</f>
        <v>0.8292748279429234</v>
      </c>
      <c r="AD52">
        <f>I52/$I$3</f>
        <v>0.16726974762581739</v>
      </c>
      <c r="AE52">
        <f>K52/$K$3</f>
        <v>0.25863613751424142</v>
      </c>
      <c r="AF52">
        <f>M52/$M$3</f>
        <v>0.88292200663868747</v>
      </c>
      <c r="AG52">
        <f>U52/$U$3</f>
        <v>0.18945019647048861</v>
      </c>
      <c r="AH52">
        <f>Y52/$Y$3</f>
        <v>5.2784321084395049</v>
      </c>
    </row>
    <row r="53" spans="1:34" x14ac:dyDescent="0.25">
      <c r="A53" s="40" t="s">
        <v>127</v>
      </c>
      <c r="E53">
        <f>(1/Gam*(1/M_3^2-1/G53^2)+(Gam+1)/2/Gam*LN((M_3^2/G53^2)*(1+G53^2*(Gam-1)/2)/(1+M_3^2*(Gam-1)/2)))*D/f+L</f>
        <v>124.38654462233444</v>
      </c>
      <c r="F53">
        <f>E53/3.28</f>
        <v>37.922727019004405</v>
      </c>
      <c r="G53">
        <f>G52+0.01</f>
        <v>0.83927482794292341</v>
      </c>
      <c r="H53">
        <f>(Gam/Z/Rg)^0.5*G53*(1+G53^2*(Gam-1)/2)^(-(Gam+1)/2/(Gam-1))</f>
        <v>9.1553077991243154E-2</v>
      </c>
      <c r="I53">
        <f>K53/(1+(Gam-1)/2*G53^2)^(Gam/(Gam-1))</f>
        <v>65.016695271304755</v>
      </c>
      <c r="J53" s="21">
        <f>I53*6.89476</f>
        <v>448.27450988878115</v>
      </c>
      <c r="K53">
        <f>mdot*Q53^0.5/A/H53/gc^0.5/144</f>
        <v>103.12406923197936</v>
      </c>
      <c r="L53" s="21">
        <f>K53*6.89476</f>
        <v>711.01570757788204</v>
      </c>
      <c r="M53">
        <f>Q53/(1+(Gam-1)/2*G53^2)</f>
        <v>578.21335651579943</v>
      </c>
      <c r="N53">
        <f>M53/1.8</f>
        <v>321.22964250877743</v>
      </c>
      <c r="O53">
        <f>M53-'Example 7.3 - Pipe P1'!$C$8</f>
        <v>118.54335651579942</v>
      </c>
      <c r="P53">
        <f>N53-'Example 7.3 - Pipe P1'!$C$9</f>
        <v>48.079642508777454</v>
      </c>
      <c r="Q53">
        <f>Q52</f>
        <v>659.67000000000007</v>
      </c>
      <c r="R53">
        <f>R52</f>
        <v>366.48333333333335</v>
      </c>
      <c r="S53">
        <f>Q53-'Example 7.3 - Pipe P1'!$C$8</f>
        <v>200.00000000000006</v>
      </c>
      <c r="T53">
        <f>R53-'Example 7.3 - Pipe P1'!$C$9</f>
        <v>93.333333333333371</v>
      </c>
      <c r="U53">
        <f>I53/M53/Rg/Z*144</f>
        <v>0.30348722814692669</v>
      </c>
      <c r="V53">
        <f>U53*16.01846</f>
        <v>4.86139802458242</v>
      </c>
      <c r="W53">
        <f>(Gam*I53/U53*gc*144)^0.5</f>
        <v>1178.7997323756056</v>
      </c>
      <c r="X53">
        <f>W53/3.28</f>
        <v>359.39016230963585</v>
      </c>
      <c r="Y53">
        <f>G53*W53</f>
        <v>989.33694256870058</v>
      </c>
      <c r="Z53">
        <f>Y53/3.28</f>
        <v>301.62711663679897</v>
      </c>
      <c r="AB53">
        <f>E53/$E$122</f>
        <v>0.82921699621122458</v>
      </c>
      <c r="AC53">
        <f>G53</f>
        <v>0.83927482794292341</v>
      </c>
      <c r="AD53">
        <f>I53/$I$3</f>
        <v>0.16503482371765629</v>
      </c>
      <c r="AE53">
        <f>K53/$K$3</f>
        <v>0.25781017307994841</v>
      </c>
      <c r="AF53">
        <f>M53/$M$3</f>
        <v>0.88033943213860855</v>
      </c>
      <c r="AG53">
        <f>U53/$U$3</f>
        <v>0.18746726284512463</v>
      </c>
      <c r="AH53">
        <f>Y53/$Y$3</f>
        <v>5.3342646861289387</v>
      </c>
    </row>
    <row r="54" spans="1:34" x14ac:dyDescent="0.25">
      <c r="A54" s="40" t="s">
        <v>127</v>
      </c>
      <c r="E54">
        <f>(1/Gam*(1/M_3^2-1/G54^2)+(Gam+1)/2/Gam*LN((M_3^2/G54^2)*(1+G54^2*(Gam-1)/2)/(1+M_3^2*(Gam-1)/2)))*D/f+L</f>
        <v>124.4743154523868</v>
      </c>
      <c r="F54">
        <f>E54/3.28</f>
        <v>37.949486418410615</v>
      </c>
      <c r="G54">
        <f>G53+0.01</f>
        <v>0.84927482794292342</v>
      </c>
      <c r="H54">
        <f>(Gam/Z/Rg)^0.5*G54*(1+G54^2*(Gam-1)/2)^(-(Gam+1)/2/(Gam-1))</f>
        <v>9.1826080210920938E-2</v>
      </c>
      <c r="I54">
        <f>K54/(1+(Gam-1)/2*G54^2)^(Gam/(Gam-1))</f>
        <v>64.1562557981282</v>
      </c>
      <c r="J54" s="21">
        <f>I54*6.89476</f>
        <v>442.34198622670237</v>
      </c>
      <c r="K54">
        <f>mdot*Q54^0.5/A/H54/gc^0.5/144</f>
        <v>102.81747768698615</v>
      </c>
      <c r="L54" s="21">
        <f>K54*6.89476</f>
        <v>708.90183245712467</v>
      </c>
      <c r="M54">
        <f>Q54/(1+(Gam-1)/2*G54^2)</f>
        <v>576.5068431875078</v>
      </c>
      <c r="N54">
        <f>M54/1.8</f>
        <v>320.28157954861541</v>
      </c>
      <c r="O54">
        <f>M54-'Example 7.3 - Pipe P1'!$C$8</f>
        <v>116.83684318750778</v>
      </c>
      <c r="P54">
        <f>N54-'Example 7.3 - Pipe P1'!$C$9</f>
        <v>47.131579548615434</v>
      </c>
      <c r="Q54">
        <f>Q53</f>
        <v>659.67000000000007</v>
      </c>
      <c r="R54">
        <f>R53</f>
        <v>366.48333333333335</v>
      </c>
      <c r="S54">
        <f>Q54-'Example 7.3 - Pipe P1'!$C$8</f>
        <v>200.00000000000006</v>
      </c>
      <c r="T54">
        <f>R54-'Example 7.3 - Pipe P1'!$C$9</f>
        <v>93.333333333333371</v>
      </c>
      <c r="U54">
        <f>I54/M54/Rg/Z*144</f>
        <v>0.30035729961297725</v>
      </c>
      <c r="V54">
        <f>U54*16.01846</f>
        <v>4.8112613895584921</v>
      </c>
      <c r="W54">
        <f>(Gam*I54/U54*gc*144)^0.5</f>
        <v>1177.0589182878653</v>
      </c>
      <c r="X54">
        <f>W54/3.28</f>
        <v>358.85942630727601</v>
      </c>
      <c r="Y54">
        <f>G54*W54</f>
        <v>999.64651030761036</v>
      </c>
      <c r="Z54">
        <f>Y54/3.28</f>
        <v>304.77027753280805</v>
      </c>
      <c r="AB54">
        <f>E54/$E$122</f>
        <v>0.82980211628407463</v>
      </c>
      <c r="AC54">
        <f>G54</f>
        <v>0.84927482794292342</v>
      </c>
      <c r="AD54">
        <f>I54/$I$3</f>
        <v>0.16285073121367943</v>
      </c>
      <c r="AE54">
        <f>K54/$K$3</f>
        <v>0.25704369421746537</v>
      </c>
      <c r="AF54">
        <f>M54/$M$3</f>
        <v>0.87774123727258568</v>
      </c>
      <c r="AG54">
        <f>U54/$U$3</f>
        <v>0.18553387296660134</v>
      </c>
      <c r="AH54">
        <f>Y54/$Y$3</f>
        <v>5.389851373285425</v>
      </c>
    </row>
    <row r="55" spans="1:34" x14ac:dyDescent="0.25">
      <c r="A55" s="40" t="s">
        <v>127</v>
      </c>
      <c r="E55">
        <f>(1/Gam*(1/M_3^2-1/G55^2)+(Gam+1)/2/Gam*LN((M_3^2/G55^2)*(1+G55^2*(Gam-1)/2)/(1+M_3^2*(Gam-1)/2)))*D/f+L</f>
        <v>124.5537935674229</v>
      </c>
      <c r="F55">
        <f>E55/3.28</f>
        <v>37.97371755104357</v>
      </c>
      <c r="G55">
        <f>G54+0.01</f>
        <v>0.85927482794292342</v>
      </c>
      <c r="H55">
        <f>(Gam/Z/Rg)^0.5*G55*(1+G55^2*(Gam-1)/2)^(-(Gam+1)/2/(Gam-1))</f>
        <v>9.2079905233520512E-2</v>
      </c>
      <c r="I55">
        <f>K55/(1+(Gam-1)/2*G55^2)^(Gam/(Gam-1))</f>
        <v>63.315154285538306</v>
      </c>
      <c r="J55" s="21">
        <f>I55*6.89476</f>
        <v>436.54279316175808</v>
      </c>
      <c r="K55">
        <f>mdot*Q55^0.5/A/H55/gc^0.5/144</f>
        <v>102.53405375717927</v>
      </c>
      <c r="L55" s="21">
        <f>K55*6.89476</f>
        <v>706.94769248284933</v>
      </c>
      <c r="M55">
        <f>Q55/(1+(Gam-1)/2*G55^2)</f>
        <v>574.79033928982994</v>
      </c>
      <c r="N55">
        <f>M55/1.8</f>
        <v>319.32796627212775</v>
      </c>
      <c r="O55">
        <f>M55-'Example 7.3 - Pipe P1'!$C$8</f>
        <v>115.12033928982993</v>
      </c>
      <c r="P55">
        <f>N55-'Example 7.3 - Pipe P1'!$C$9</f>
        <v>46.177966272127776</v>
      </c>
      <c r="Q55">
        <f>Q54</f>
        <v>659.67000000000007</v>
      </c>
      <c r="R55">
        <f>R54</f>
        <v>366.48333333333335</v>
      </c>
      <c r="S55">
        <f>Q55-'Example 7.3 - Pipe P1'!$C$8</f>
        <v>200.00000000000006</v>
      </c>
      <c r="T55">
        <f>R55-'Example 7.3 - Pipe P1'!$C$9</f>
        <v>93.333333333333371</v>
      </c>
      <c r="U55">
        <f>I55/M55/Rg/Z*144</f>
        <v>0.29730475614526553</v>
      </c>
      <c r="V55">
        <f>U55*16.01846</f>
        <v>4.7623643441226902</v>
      </c>
      <c r="W55">
        <f>(Gam*I55/U55*gc*144)^0.5</f>
        <v>1175.3053117148106</v>
      </c>
      <c r="X55">
        <f>W55/3.28</f>
        <v>358.32479015695446</v>
      </c>
      <c r="Y55">
        <f>G55*W55</f>
        <v>1009.9102695041479</v>
      </c>
      <c r="Z55">
        <f>Y55/3.28</f>
        <v>307.89947240980121</v>
      </c>
      <c r="AB55">
        <f>E55/$E$122</f>
        <v>0.83033195336584953</v>
      </c>
      <c r="AC55">
        <f>G55</f>
        <v>0.85927482794292342</v>
      </c>
      <c r="AD55">
        <f>I55/$I$3</f>
        <v>0.16071572513132334</v>
      </c>
      <c r="AE55">
        <f>K55/$K$3</f>
        <v>0.25633513439294814</v>
      </c>
      <c r="AF55">
        <f>M55/$M$3</f>
        <v>0.87512783159885466</v>
      </c>
      <c r="AG55">
        <f>U55/$U$3</f>
        <v>0.1836482846599638</v>
      </c>
      <c r="AH55">
        <f>Y55/$Y$3</f>
        <v>5.4451910718989938</v>
      </c>
    </row>
    <row r="56" spans="1:34" x14ac:dyDescent="0.25">
      <c r="A56" s="40" t="s">
        <v>127</v>
      </c>
      <c r="E56">
        <f>(1/Gam*(1/M_3^2-1/G56^2)+(Gam+1)/2/Gam*LN((M_3^2/G56^2)*(1+G56^2*(Gam-1)/2)/(1+M_3^2*(Gam-1)/2)))*D/f+L</f>
        <v>124.6254491913347</v>
      </c>
      <c r="F56">
        <f>E56/3.28</f>
        <v>37.995563777845945</v>
      </c>
      <c r="G56">
        <f>G55+0.01</f>
        <v>0.86927482794292343</v>
      </c>
      <c r="H56">
        <f>(Gam/Z/Rg)^0.5*G56*(1+G56^2*(Gam-1)/2)^(-(Gam+1)/2/(Gam-1))</f>
        <v>9.2314757702425906E-2</v>
      </c>
      <c r="I56">
        <f>K56/(1+(Gam-1)/2*G56^2)^(Gam/(Gam-1))</f>
        <v>62.492734904936228</v>
      </c>
      <c r="J56" s="21">
        <f>I56*6.89476</f>
        <v>430.8724089131581</v>
      </c>
      <c r="K56">
        <f>mdot*Q56^0.5/A/H56/gc^0.5/144</f>
        <v>102.2732029867166</v>
      </c>
      <c r="L56" s="21">
        <f>K56*6.89476</f>
        <v>705.14918902469412</v>
      </c>
      <c r="M56">
        <f>Q56/(1+(Gam-1)/2*G56^2)</f>
        <v>573.06411273114702</v>
      </c>
      <c r="N56">
        <f>M56/1.8</f>
        <v>318.36895151730391</v>
      </c>
      <c r="O56">
        <f>M56-'Example 7.3 - Pipe P1'!$C$8</f>
        <v>113.394112731147</v>
      </c>
      <c r="P56">
        <f>N56-'Example 7.3 - Pipe P1'!$C$9</f>
        <v>45.218951517303935</v>
      </c>
      <c r="Q56">
        <f>Q55</f>
        <v>659.67000000000007</v>
      </c>
      <c r="R56">
        <f>R55</f>
        <v>366.48333333333335</v>
      </c>
      <c r="S56">
        <f>Q56-'Example 7.3 - Pipe P1'!$C$8</f>
        <v>200.00000000000006</v>
      </c>
      <c r="T56">
        <f>R56-'Example 7.3 - Pipe P1'!$C$9</f>
        <v>93.333333333333371</v>
      </c>
      <c r="U56">
        <f>I56/M56/Rg/Z*144</f>
        <v>0.29432690706317027</v>
      </c>
      <c r="V56">
        <f>U56*16.01846</f>
        <v>4.7146637877151107</v>
      </c>
      <c r="W56">
        <f>(Gam*I56/U56*gc*144)^0.5</f>
        <v>1173.5391296251546</v>
      </c>
      <c r="X56">
        <f>W56/3.28</f>
        <v>357.78632000766913</v>
      </c>
      <c r="Y56">
        <f>G56*W56</f>
        <v>1020.1280249891944</v>
      </c>
      <c r="Z56">
        <f>Y56/3.28</f>
        <v>311.01464176499832</v>
      </c>
      <c r="AB56">
        <f>E56/$E$122</f>
        <v>0.83080964218180775</v>
      </c>
      <c r="AC56">
        <f>G56</f>
        <v>0.86927482794292343</v>
      </c>
      <c r="AD56">
        <f>I56/$I$3</f>
        <v>0.15862814075113796</v>
      </c>
      <c r="AE56">
        <f>K56/$K$3</f>
        <v>0.25568300746679151</v>
      </c>
      <c r="AF56">
        <f>M56/$M$3</f>
        <v>0.87249962301237249</v>
      </c>
      <c r="AG56">
        <f>U56/$U$3</f>
        <v>0.18180883586340357</v>
      </c>
      <c r="AH56">
        <f>Y56/$Y$3</f>
        <v>5.5002827296651233</v>
      </c>
    </row>
    <row r="57" spans="1:34" x14ac:dyDescent="0.25">
      <c r="A57" s="40" t="s">
        <v>127</v>
      </c>
      <c r="E57">
        <f>(1/Gam*(1/M_3^2-1/G57^2)+(Gam+1)/2/Gam*LN((M_3^2/G57^2)*(1+G57^2*(Gam-1)/2)/(1+M_3^2*(Gam-1)/2)))*D/f+L</f>
        <v>124.68972397444709</v>
      </c>
      <c r="F57">
        <f>E57/3.28</f>
        <v>38.015159748307042</v>
      </c>
      <c r="G57">
        <f>G56+0.01</f>
        <v>0.87927482794292344</v>
      </c>
      <c r="H57">
        <f>(Gam/Z/Rg)^0.5*G57*(1+G57^2*(Gam-1)/2)^(-(Gam+1)/2/(Gam-1))</f>
        <v>9.2530847790870521E-2</v>
      </c>
      <c r="I57">
        <f>K57/(1+(Gam-1)/2*G57^2)^(Gam/(Gam-1))</f>
        <v>61.68837164688896</v>
      </c>
      <c r="J57" s="21">
        <f>I57*6.89476</f>
        <v>425.3265172961041</v>
      </c>
      <c r="K57">
        <f>mdot*Q57^0.5/A/H57/gc^0.5/144</f>
        <v>102.03436128141996</v>
      </c>
      <c r="L57" s="21">
        <f>K57*6.89476</f>
        <v>703.50243278868311</v>
      </c>
      <c r="M57">
        <f>Q57/(1+(Gam-1)/2*G57^2)</f>
        <v>571.32843025074044</v>
      </c>
      <c r="N57">
        <f>M57/1.8</f>
        <v>317.40468347263356</v>
      </c>
      <c r="O57">
        <f>M57-'Example 7.3 - Pipe P1'!$C$8</f>
        <v>111.65843025074042</v>
      </c>
      <c r="P57">
        <f>N57-'Example 7.3 - Pipe P1'!$C$9</f>
        <v>44.254683472633587</v>
      </c>
      <c r="Q57">
        <f>Q56</f>
        <v>659.67000000000007</v>
      </c>
      <c r="R57">
        <f>R56</f>
        <v>366.48333333333335</v>
      </c>
      <c r="S57">
        <f>Q57-'Example 7.3 - Pipe P1'!$C$8</f>
        <v>200.00000000000006</v>
      </c>
      <c r="T57">
        <f>R57-'Example 7.3 - Pipe P1'!$C$9</f>
        <v>93.333333333333371</v>
      </c>
      <c r="U57">
        <f>I57/M57/Rg/Z*144</f>
        <v>0.29142118400834022</v>
      </c>
      <c r="V57">
        <f>U57*16.01846</f>
        <v>4.6681185791902378</v>
      </c>
      <c r="W57">
        <f>(Gam*I57/U57*gc*144)^0.5</f>
        <v>1171.7605886872868</v>
      </c>
      <c r="X57">
        <f>W57/3.28</f>
        <v>357.24408191685575</v>
      </c>
      <c r="Y57">
        <f>G57*W57</f>
        <v>1030.2995900083129</v>
      </c>
      <c r="Z57">
        <f>Y57/3.28</f>
        <v>314.11572866107099</v>
      </c>
      <c r="AB57">
        <f>E57/$E$122</f>
        <v>0.83123812697287913</v>
      </c>
      <c r="AC57">
        <f>G57</f>
        <v>0.87927482794292344</v>
      </c>
      <c r="AD57">
        <f>I57/$I$3</f>
        <v>0.15658638904501304</v>
      </c>
      <c r="AE57">
        <f>K57/$K$3</f>
        <v>0.2550859032035499</v>
      </c>
      <c r="AF57">
        <f>M57/$M$3</f>
        <v>0.86985701762812229</v>
      </c>
      <c r="AG57">
        <f>U57/$U$3</f>
        <v>0.18001394007486896</v>
      </c>
      <c r="AH57">
        <f>Y57/$Y$3</f>
        <v>5.555125339649214</v>
      </c>
    </row>
    <row r="58" spans="1:34" x14ac:dyDescent="0.25">
      <c r="A58" s="40" t="s">
        <v>127</v>
      </c>
      <c r="E58">
        <f>(1/Gam*(1/M_3^2-1/G58^2)+(Gam+1)/2/Gam*LN((M_3^2/G58^2)*(1+G58^2*(Gam-1)/2)/(1+M_3^2*(Gam-1)/2)))*D/f+L</f>
        <v>124.74703297154596</v>
      </c>
      <c r="F58">
        <f>E58/3.28</f>
        <v>38.032632003520114</v>
      </c>
      <c r="G58">
        <f>G57+0.01</f>
        <v>0.88927482794292345</v>
      </c>
      <c r="H58">
        <f>(Gam/Z/Rg)^0.5*G58*(1+G58^2*(Gam-1)/2)^(-(Gam+1)/2/(Gam-1))</f>
        <v>9.2728390942005801E-2</v>
      </c>
      <c r="I58">
        <f>K58/(1+(Gam-1)/2*G58^2)^(Gam/(Gam-1))</f>
        <v>60.901466641620829</v>
      </c>
      <c r="J58" s="21">
        <f>I58*6.89476</f>
        <v>419.90099614198164</v>
      </c>
      <c r="K58">
        <f>mdot*Q58^0.5/A/H58/gc^0.5/144</f>
        <v>101.81699323430037</v>
      </c>
      <c r="L58" s="21">
        <f>K58*6.89476</f>
        <v>702.00373227212481</v>
      </c>
      <c r="M58">
        <f>Q58/(1+(Gam-1)/2*G58^2)</f>
        <v>569.58355734411475</v>
      </c>
      <c r="N58">
        <f>M58/1.8</f>
        <v>316.43530963561932</v>
      </c>
      <c r="O58">
        <f>M58-'Example 7.3 - Pipe P1'!$C$8</f>
        <v>109.91355734411474</v>
      </c>
      <c r="P58">
        <f>N58-'Example 7.3 - Pipe P1'!$C$9</f>
        <v>43.285309635619342</v>
      </c>
      <c r="Q58">
        <f>Q57</f>
        <v>659.67000000000007</v>
      </c>
      <c r="R58">
        <f>R57</f>
        <v>366.48333333333335</v>
      </c>
      <c r="S58">
        <f>Q58-'Example 7.3 - Pipe P1'!$C$8</f>
        <v>200.00000000000006</v>
      </c>
      <c r="T58">
        <f>R58-'Example 7.3 - Pipe P1'!$C$9</f>
        <v>93.333333333333371</v>
      </c>
      <c r="U58">
        <f>I58/M58/Rg/Z*144</f>
        <v>0.28858513407062331</v>
      </c>
      <c r="V58">
        <f>U58*16.01846</f>
        <v>4.622689426704917</v>
      </c>
      <c r="W58">
        <f>(Gam*I58/U58*gc*144)^0.5</f>
        <v>1169.969905213399</v>
      </c>
      <c r="X58">
        <f>W58/3.28</f>
        <v>356.69814183335336</v>
      </c>
      <c r="Y58">
        <f>G58*W58</f>
        <v>1040.4247861570439</v>
      </c>
      <c r="Z58">
        <f>Y58/3.28</f>
        <v>317.20267870641584</v>
      </c>
      <c r="AB58">
        <f>E58/$E$122</f>
        <v>0.8316201746820947</v>
      </c>
      <c r="AC58">
        <f>G58</f>
        <v>0.88927482794292345</v>
      </c>
      <c r="AD58">
        <f>I58/$I$3</f>
        <v>0.15458895241300563</v>
      </c>
      <c r="AE58">
        <f>K58/$K$3</f>
        <v>0.25454248308575095</v>
      </c>
      <c r="AF58">
        <f>M58/$M$3</f>
        <v>0.86720041966741612</v>
      </c>
      <c r="AG58">
        <f>U58/$U$3</f>
        <v>0.17826208210587899</v>
      </c>
      <c r="AH58">
        <f>Y58/$Y$3</f>
        <v>5.6097179399377186</v>
      </c>
    </row>
    <row r="59" spans="1:34" x14ac:dyDescent="0.25">
      <c r="A59" s="40" t="s">
        <v>127</v>
      </c>
      <c r="E59">
        <f>(1/Gam*(1/M_3^2-1/G59^2)+(Gam+1)/2/Gam*LN((M_3^2/G59^2)*(1+G59^2*(Gam-1)/2)/(1+M_3^2*(Gam-1)/2)))*D/f+L</f>
        <v>124.79776646414875</v>
      </c>
      <c r="F59">
        <f>E59/3.28</f>
        <v>38.048099531752669</v>
      </c>
      <c r="G59">
        <f>G58+0.01</f>
        <v>0.89927482794292346</v>
      </c>
      <c r="H59">
        <f>(Gam/Z/Rg)^0.5*G59*(1+G59^2*(Gam-1)/2)^(-(Gam+1)/2/(Gam-1))</f>
        <v>9.2907607610290474E-2</v>
      </c>
      <c r="I59">
        <f>K59/(1+(Gam-1)/2*G59^2)^(Gam/(Gam-1))</f>
        <v>60.131448591617527</v>
      </c>
      <c r="J59" s="21">
        <f>I59*6.89476</f>
        <v>414.59190649154084</v>
      </c>
      <c r="K59">
        <f>mdot*Q59^0.5/A/H59/gc^0.5/144</f>
        <v>101.62059056317838</v>
      </c>
      <c r="L59" s="21">
        <f>K59*6.89476</f>
        <v>700.64958299137982</v>
      </c>
      <c r="M59">
        <f>Q59/(1+(Gam-1)/2*G59^2)</f>
        <v>567.82975819030503</v>
      </c>
      <c r="N59">
        <f>M59/1.8</f>
        <v>315.46097677239169</v>
      </c>
      <c r="O59">
        <f>M59-'Example 7.3 - Pipe P1'!$C$8</f>
        <v>108.15975819030501</v>
      </c>
      <c r="P59">
        <f>N59-'Example 7.3 - Pipe P1'!$C$9</f>
        <v>42.310976772391712</v>
      </c>
      <c r="Q59">
        <f>Q58</f>
        <v>659.67000000000007</v>
      </c>
      <c r="R59">
        <f>R58</f>
        <v>366.48333333333335</v>
      </c>
      <c r="S59">
        <f>Q59-'Example 7.3 - Pipe P1'!$C$8</f>
        <v>200.00000000000006</v>
      </c>
      <c r="T59">
        <f>R59-'Example 7.3 - Pipe P1'!$C$9</f>
        <v>93.333333333333371</v>
      </c>
      <c r="U59">
        <f>I59/M59/Rg/Z*144</f>
        <v>0.28581641337260805</v>
      </c>
      <c r="V59">
        <f>U59*16.01846</f>
        <v>4.5783387849525869</v>
      </c>
      <c r="W59">
        <f>(Gam*I59/U59*gc*144)^0.5</f>
        <v>1168.1672951046862</v>
      </c>
      <c r="X59">
        <f>W59/3.28</f>
        <v>356.14856558069704</v>
      </c>
      <c r="Y59">
        <f>G59*W59</f>
        <v>1050.5034433138169</v>
      </c>
      <c r="Z59">
        <f>Y59/3.28</f>
        <v>320.2754400347003</v>
      </c>
      <c r="AB59">
        <f>E59/$E$122</f>
        <v>0.83195838710266734</v>
      </c>
      <c r="AC59">
        <f>G59</f>
        <v>0.89927482794292346</v>
      </c>
      <c r="AD59">
        <f>I59/$I$3</f>
        <v>0.15263438070474789</v>
      </c>
      <c r="AE59">
        <f>K59/$K$3</f>
        <v>0.25405147640794595</v>
      </c>
      <c r="AF59">
        <f>M59/$M$3</f>
        <v>0.86453023134721974</v>
      </c>
      <c r="AG59">
        <f>U59/$U$3</f>
        <v>0.17655181411862689</v>
      </c>
      <c r="AH59">
        <f>Y59/$Y$3</f>
        <v>5.6640596132764172</v>
      </c>
    </row>
    <row r="60" spans="1:34" x14ac:dyDescent="0.25">
      <c r="A60" s="40" t="s">
        <v>127</v>
      </c>
      <c r="E60">
        <f>(1/Gam*(1/M_3^2-1/G60^2)+(Gam+1)/2/Gam*LN((M_3^2/G60^2)*(1+G60^2*(Gam-1)/2)/(1+M_3^2*(Gam-1)/2)))*D/f+L</f>
        <v>124.84229164079274</v>
      </c>
      <c r="F60">
        <f>E60/3.28</f>
        <v>38.061674280729498</v>
      </c>
      <c r="G60">
        <f>G59+0.01</f>
        <v>0.90927482794292347</v>
      </c>
      <c r="H60">
        <f>(Gam/Z/Rg)^0.5*G60*(1+G60^2*(Gam-1)/2)^(-(Gam+1)/2/(Gam-1))</f>
        <v>9.3068723004475079E-2</v>
      </c>
      <c r="I60">
        <f>K60/(1+(Gam-1)/2*G60^2)^(Gam/(Gam-1))</f>
        <v>59.377771307713047</v>
      </c>
      <c r="J60" s="21">
        <f>I60*6.89476</f>
        <v>409.39548250156759</v>
      </c>
      <c r="K60">
        <f>mdot*Q60^0.5/A/H60/gc^0.5/144</f>
        <v>101.44467065176978</v>
      </c>
      <c r="L60" s="21">
        <f>K60*6.89476</f>
        <v>699.43665742299618</v>
      </c>
      <c r="M60">
        <f>Q60/(1+(Gam-1)/2*G60^2)</f>
        <v>566.06729558117843</v>
      </c>
      <c r="N60">
        <f>M60/1.8</f>
        <v>314.48183087843245</v>
      </c>
      <c r="O60">
        <f>M60-'Example 7.3 - Pipe P1'!$C$8</f>
        <v>106.39729558117841</v>
      </c>
      <c r="P60">
        <f>N60-'Example 7.3 - Pipe P1'!$C$9</f>
        <v>41.33183087843247</v>
      </c>
      <c r="Q60">
        <f>Q59</f>
        <v>659.67000000000007</v>
      </c>
      <c r="R60">
        <f>R59</f>
        <v>366.48333333333335</v>
      </c>
      <c r="S60">
        <f>Q60-'Example 7.3 - Pipe P1'!$C$8</f>
        <v>200.00000000000006</v>
      </c>
      <c r="T60">
        <f>R60-'Example 7.3 - Pipe P1'!$C$9</f>
        <v>93.333333333333371</v>
      </c>
      <c r="U60">
        <f>I60/M60/Rg/Z*144</f>
        <v>0.28311278107747306</v>
      </c>
      <c r="V60">
        <f>U60*16.01846</f>
        <v>4.5350307591782597</v>
      </c>
      <c r="W60">
        <f>(Gam*I60/U60*gc*144)^0.5</f>
        <v>1166.3529737976319</v>
      </c>
      <c r="X60">
        <f>W60/3.28</f>
        <v>355.59541884074144</v>
      </c>
      <c r="Y60">
        <f>G60*W60</f>
        <v>1060.5353995705589</v>
      </c>
      <c r="Z60">
        <f>Y60/3.28</f>
        <v>323.33396328370696</v>
      </c>
      <c r="AB60">
        <f>E60/$E$122</f>
        <v>0.83225521207955377</v>
      </c>
      <c r="AC60">
        <f>G60</f>
        <v>0.90927482794292347</v>
      </c>
      <c r="AD60">
        <f>I60/$I$3</f>
        <v>0.15072128750353014</v>
      </c>
      <c r="AE60">
        <f>K60/$K$3</f>
        <v>0.25361167662942447</v>
      </c>
      <c r="AF60">
        <f>M60/$M$3</f>
        <v>0.86184685277251261</v>
      </c>
      <c r="AG60">
        <f>U60/$U$3</f>
        <v>0.17488175192456556</v>
      </c>
      <c r="AH60">
        <f>Y60/$Y$3</f>
        <v>5.7181494866962739</v>
      </c>
    </row>
    <row r="61" spans="1:34" x14ac:dyDescent="0.25">
      <c r="A61" s="40" t="s">
        <v>127</v>
      </c>
      <c r="E61">
        <f>(1/Gam*(1/M_3^2-1/G61^2)+(Gam+1)/2/Gam*LN((M_3^2/G61^2)*(1+G61^2*(Gam-1)/2)/(1+M_3^2*(Gam-1)/2)))*D/f+L</f>
        <v>124.880954147765</v>
      </c>
      <c r="F61">
        <f>E61/3.28</f>
        <v>38.073461630416162</v>
      </c>
      <c r="G61">
        <f>G60+0.01</f>
        <v>0.91927482794292348</v>
      </c>
      <c r="H61">
        <f>(Gam/Z/Rg)^0.5*G61*(1+G61^2*(Gam-1)/2)^(-(Gam+1)/2/(Gam-1))</f>
        <v>9.3211966832444704E-2</v>
      </c>
      <c r="I61">
        <f>K61/(1+(Gam-1)/2*G61^2)^(Gam/(Gam-1))</f>
        <v>58.639912340779588</v>
      </c>
      <c r="J61" s="21">
        <f>I61*6.89476</f>
        <v>404.30812201071348</v>
      </c>
      <c r="K61">
        <f>mdot*Q61^0.5/A/H61/gc^0.5/144</f>
        <v>101.28877518635815</v>
      </c>
      <c r="L61" s="21">
        <f>K61*6.89476</f>
        <v>698.36179560389473</v>
      </c>
      <c r="M61">
        <f>Q61/(1+(Gam-1)/2*G61^2)</f>
        <v>564.29643085273756</v>
      </c>
      <c r="N61">
        <f>M61/1.8</f>
        <v>313.49801714040973</v>
      </c>
      <c r="O61">
        <f>M61-'Example 7.3 - Pipe P1'!$C$8</f>
        <v>104.62643085273754</v>
      </c>
      <c r="P61">
        <f>N61-'Example 7.3 - Pipe P1'!$C$9</f>
        <v>40.348017140409752</v>
      </c>
      <c r="Q61">
        <f>Q60</f>
        <v>659.67000000000007</v>
      </c>
      <c r="R61">
        <f>R60</f>
        <v>366.48333333333335</v>
      </c>
      <c r="S61">
        <f>Q61-'Example 7.3 - Pipe P1'!$C$8</f>
        <v>200.00000000000006</v>
      </c>
      <c r="T61">
        <f>R61-'Example 7.3 - Pipe P1'!$C$9</f>
        <v>93.333333333333371</v>
      </c>
      <c r="U61">
        <f>I61/M61/Rg/Z*144</f>
        <v>0.28047209378790627</v>
      </c>
      <c r="V61">
        <f>U61*16.01846</f>
        <v>4.4927310154578253</v>
      </c>
      <c r="W61">
        <f>(Gam*I61/U61*gc*144)^0.5</f>
        <v>1164.5271562113942</v>
      </c>
      <c r="X61">
        <f>W61/3.28</f>
        <v>355.0387671376202</v>
      </c>
      <c r="Y61">
        <f>G61*W61</f>
        <v>1070.5205011610913</v>
      </c>
      <c r="Z61">
        <f>Y61/3.28</f>
        <v>326.37820157350347</v>
      </c>
      <c r="AB61">
        <f>E61/$E$122</f>
        <v>0.83251295384732182</v>
      </c>
      <c r="AC61">
        <f>G61</f>
        <v>0.91927482794292348</v>
      </c>
      <c r="AD61">
        <f>I61/$I$3</f>
        <v>0.14884834665305754</v>
      </c>
      <c r="AE61">
        <f>K61/$K$3</f>
        <v>0.25322193796589537</v>
      </c>
      <c r="AF61">
        <f>M61/$M$3</f>
        <v>0.85915068183169596</v>
      </c>
      <c r="AG61">
        <f>U61/$U$3</f>
        <v>0.17325057152456097</v>
      </c>
      <c r="AH61">
        <f>Y61/$Y$3</f>
        <v>5.771986731127372</v>
      </c>
    </row>
    <row r="62" spans="1:34" x14ac:dyDescent="0.25">
      <c r="A62" s="40" t="s">
        <v>127</v>
      </c>
      <c r="E62">
        <f>(1/Gam*(1/M_3^2-1/G62^2)+(Gam+1)/2/Gam*LN((M_3^2/G62^2)*(1+G62^2*(Gam-1)/2)/(1+M_3^2*(Gam-1)/2)))*D/f+L</f>
        <v>124.91407952149275</v>
      </c>
      <c r="F62">
        <f>E62/3.28</f>
        <v>38.083560829723403</v>
      </c>
      <c r="G62">
        <f>G61+0.01</f>
        <v>0.92927482794292349</v>
      </c>
      <c r="H62">
        <f>(Gam/Z/Rg)^0.5*G62*(1+G62^2*(Gam-1)/2)^(-(Gam+1)/2/(Gam-1))</f>
        <v>9.3337573048173139E-2</v>
      </c>
      <c r="I62">
        <f>K62/(1+(Gam-1)/2*G62^2)^(Gam/(Gam-1))</f>
        <v>57.917371701819739</v>
      </c>
      <c r="J62" s="21">
        <f>I62*6.89476</f>
        <v>399.32637771483866</v>
      </c>
      <c r="K62">
        <f>mdot*Q62^0.5/A/H62/gc^0.5/144</f>
        <v>101.15246888085393</v>
      </c>
      <c r="L62" s="21">
        <f>K62*6.89476</f>
        <v>697.42199634095641</v>
      </c>
      <c r="M62">
        <f>Q62/(1+(Gam-1)/2*G62^2)</f>
        <v>562.51742381843439</v>
      </c>
      <c r="N62">
        <f>M62/1.8</f>
        <v>312.50967989913022</v>
      </c>
      <c r="O62">
        <f>M62-'Example 7.3 - Pipe P1'!$C$8</f>
        <v>102.84742381843438</v>
      </c>
      <c r="P62">
        <f>N62-'Example 7.3 - Pipe P1'!$C$9</f>
        <v>39.359679899130242</v>
      </c>
      <c r="Q62">
        <f>Q61</f>
        <v>659.67000000000007</v>
      </c>
      <c r="R62">
        <f>R61</f>
        <v>366.48333333333335</v>
      </c>
      <c r="S62">
        <f>Q62-'Example 7.3 - Pipe P1'!$C$8</f>
        <v>200.00000000000006</v>
      </c>
      <c r="T62">
        <f>R62-'Example 7.3 - Pipe P1'!$C$9</f>
        <v>93.333333333333371</v>
      </c>
      <c r="U62">
        <f>I62/M62/Rg/Z*144</f>
        <v>0.27789230030663742</v>
      </c>
      <c r="V62">
        <f>U62*16.01846</f>
        <v>4.4514066967698591</v>
      </c>
      <c r="W62">
        <f>(Gam*I62/U62*gc*144)^0.5</f>
        <v>1162.6900566963011</v>
      </c>
      <c r="X62">
        <f>W62/3.28</f>
        <v>354.47867582204304</v>
      </c>
      <c r="Y62">
        <f>G62*W62</f>
        <v>1080.4586023874031</v>
      </c>
      <c r="Z62">
        <f>Y62/3.28</f>
        <v>329.40811048396438</v>
      </c>
      <c r="AB62">
        <f>E62/$E$122</f>
        <v>0.83273378257911357</v>
      </c>
      <c r="AC62">
        <f>G62</f>
        <v>0.92927482794292349</v>
      </c>
      <c r="AD62">
        <f>I62/$I$3</f>
        <v>0.14701428900860189</v>
      </c>
      <c r="AE62">
        <f>K62/$K$3</f>
        <v>0.25288117220213485</v>
      </c>
      <c r="AF62">
        <f>M62/$M$3</f>
        <v>0.85644211409506288</v>
      </c>
      <c r="AG62">
        <f>U62/$U$3</f>
        <v>0.1716570058724175</v>
      </c>
      <c r="AH62">
        <f>Y62/$Y$3</f>
        <v>5.8255705610013981</v>
      </c>
    </row>
    <row r="63" spans="1:34" x14ac:dyDescent="0.25">
      <c r="A63" s="40" t="s">
        <v>127</v>
      </c>
      <c r="E63">
        <f>(1/Gam*(1/M_3^2-1/G63^2)+(Gam+1)/2/Gam*LN((M_3^2/G63^2)*(1+G63^2*(Gam-1)/2)/(1+M_3^2*(Gam-1)/2)))*D/f+L</f>
        <v>124.94197451273521</v>
      </c>
      <c r="F63">
        <f>E63/3.28</f>
        <v>38.092065400224151</v>
      </c>
      <c r="G63">
        <f>G62+0.01</f>
        <v>0.9392748279429235</v>
      </c>
      <c r="H63">
        <f>(Gam/Z/Rg)^0.5*G63*(1+G63^2*(Gam-1)/2)^(-(Gam+1)/2/(Gam-1))</f>
        <v>9.3445779601030288E-2</v>
      </c>
      <c r="I63">
        <f>K63/(1+(Gam-1)/2*G63^2)^(Gam/(Gam-1))</f>
        <v>57.209670663873133</v>
      </c>
      <c r="J63" s="21">
        <f>I63*6.89476</f>
        <v>394.44694890644593</v>
      </c>
      <c r="K63">
        <f>mdot*Q63^0.5/A/H63/gc^0.5/144</f>
        <v>101.03533828365288</v>
      </c>
      <c r="L63" s="21">
        <f>K63*6.89476</f>
        <v>696.61440898459853</v>
      </c>
      <c r="M63">
        <f>Q63/(1+(Gam-1)/2*G63^2)</f>
        <v>560.73053270449645</v>
      </c>
      <c r="N63">
        <f>M63/1.8</f>
        <v>311.51696261360911</v>
      </c>
      <c r="O63">
        <f>M63-'Example 7.3 - Pipe P1'!$C$8</f>
        <v>101.06053270449644</v>
      </c>
      <c r="P63">
        <f>N63-'Example 7.3 - Pipe P1'!$C$9</f>
        <v>38.366962613609132</v>
      </c>
      <c r="Q63">
        <f>Q62</f>
        <v>659.67000000000007</v>
      </c>
      <c r="R63">
        <f>R62</f>
        <v>366.48333333333335</v>
      </c>
      <c r="S63">
        <f>Q63-'Example 7.3 - Pipe P1'!$C$8</f>
        <v>200.00000000000006</v>
      </c>
      <c r="T63">
        <f>R63-'Example 7.3 - Pipe P1'!$C$9</f>
        <v>93.333333333333371</v>
      </c>
      <c r="U63">
        <f>I63/M63/Rg/Z*144</f>
        <v>0.27537143673163317</v>
      </c>
      <c r="V63">
        <f>U63*16.01846</f>
        <v>4.4110263444281967</v>
      </c>
      <c r="W63">
        <f>(Gam*I63/U63*gc*144)^0.5</f>
        <v>1160.8418889834616</v>
      </c>
      <c r="X63">
        <f>W63/3.28</f>
        <v>353.91521005593341</v>
      </c>
      <c r="Y63">
        <f>G63*W63</f>
        <v>1090.3495655438792</v>
      </c>
      <c r="Z63">
        <f>Y63/3.28</f>
        <v>332.4236480316705</v>
      </c>
      <c r="AB63">
        <f>E63/$E$122</f>
        <v>0.8329197432143064</v>
      </c>
      <c r="AC63">
        <f>G63</f>
        <v>0.9392748279429235</v>
      </c>
      <c r="AD63">
        <f>I63/$I$3</f>
        <v>0.14521789939582702</v>
      </c>
      <c r="AE63">
        <f>K63/$K$3</f>
        <v>0.25258834570913219</v>
      </c>
      <c r="AF63">
        <f>M63/$M$3</f>
        <v>0.85372154271633049</v>
      </c>
      <c r="AG63">
        <f>U63/$U$3</f>
        <v>0.17009984184512858</v>
      </c>
      <c r="AH63">
        <f>Y63/$Y$3</f>
        <v>5.878900233843094</v>
      </c>
    </row>
    <row r="64" spans="1:34" x14ac:dyDescent="0.25">
      <c r="A64" s="40" t="s">
        <v>127</v>
      </c>
      <c r="E64">
        <f>(1/Gam*(1/M_3^2-1/G64^2)+(Gam+1)/2/Gam*LN((M_3^2/G64^2)*(1+G64^2*(Gam-1)/2)/(1+M_3^2*(Gam-1)/2)))*D/f+L</f>
        <v>124.96492831175462</v>
      </c>
      <c r="F64">
        <f>E64/3.28</f>
        <v>38.099063509681287</v>
      </c>
      <c r="G64">
        <f>G63+0.01</f>
        <v>0.9492748279429235</v>
      </c>
      <c r="H64">
        <f>(Gam/Z/Rg)^0.5*G64*(1+G64^2*(Gam-1)/2)^(-(Gam+1)/2/(Gam-1))</f>
        <v>9.3536828187673518E-2</v>
      </c>
      <c r="I64">
        <f>K64/(1+(Gam-1)/2*G64^2)^(Gam/(Gam-1))</f>
        <v>56.51635063970479</v>
      </c>
      <c r="J64" s="21">
        <f>I64*6.89476</f>
        <v>389.66667373661096</v>
      </c>
      <c r="K64">
        <f>mdot*Q64^0.5/A/H64/gc^0.5/144</f>
        <v>100.93699066026232</v>
      </c>
      <c r="L64" s="21">
        <f>K64*6.89476</f>
        <v>695.93632572475019</v>
      </c>
      <c r="M64">
        <f>Q64/(1+(Gam-1)/2*G64^2)</f>
        <v>558.93601408726897</v>
      </c>
      <c r="N64">
        <f>M64/1.8</f>
        <v>310.52000782626055</v>
      </c>
      <c r="O64">
        <f>M64-'Example 7.3 - Pipe P1'!$C$8</f>
        <v>99.266014087268957</v>
      </c>
      <c r="P64">
        <f>N64-'Example 7.3 - Pipe P1'!$C$9</f>
        <v>37.370007826260576</v>
      </c>
      <c r="Q64">
        <f>Q63</f>
        <v>659.67000000000007</v>
      </c>
      <c r="R64">
        <f>R63</f>
        <v>366.48333333333335</v>
      </c>
      <c r="S64">
        <f>Q64-'Example 7.3 - Pipe P1'!$C$8</f>
        <v>200.00000000000006</v>
      </c>
      <c r="T64">
        <f>R64-'Example 7.3 - Pipe P1'!$C$9</f>
        <v>93.333333333333371</v>
      </c>
      <c r="U64">
        <f>I64/M64/Rg/Z*144</f>
        <v>0.27290762186127443</v>
      </c>
      <c r="V64">
        <f>U64*16.01846</f>
        <v>4.3715598244799505</v>
      </c>
      <c r="W64">
        <f>(Gam*I64/U64*gc*144)^0.5</f>
        <v>1158.9828661355054</v>
      </c>
      <c r="X64">
        <f>W64/3.28</f>
        <v>353.34843479741022</v>
      </c>
      <c r="Y64">
        <f>G64*W64</f>
        <v>1100.1932608395782</v>
      </c>
      <c r="Z64">
        <f>Y64/3.28</f>
        <v>335.42477464621288</v>
      </c>
      <c r="AB64">
        <f>E64/$E$122</f>
        <v>0.83307276362605831</v>
      </c>
      <c r="AC64">
        <f>G64</f>
        <v>0.9492748279429235</v>
      </c>
      <c r="AD64">
        <f>I64/$I$3</f>
        <v>0.14345801376197437</v>
      </c>
      <c r="AE64">
        <f>K64/$K$3</f>
        <v>0.25234247665065579</v>
      </c>
      <c r="AF64">
        <f>M64/$M$3</f>
        <v>0.85098935833724298</v>
      </c>
      <c r="AG64">
        <f>U64/$U$3</f>
        <v>0.16857791740460595</v>
      </c>
      <c r="AH64">
        <f>Y64/$Y$3</f>
        <v>5.9319750498512054</v>
      </c>
    </row>
    <row r="65" spans="1:34" x14ac:dyDescent="0.25">
      <c r="A65" s="40" t="s">
        <v>127</v>
      </c>
      <c r="E65">
        <f>(1/Gam*(1/M_3^2-1/G65^2)+(Gam+1)/2/Gam*LN((M_3^2/G65^2)*(1+G65^2*(Gam-1)/2)/(1+M_3^2*(Gam-1)/2)))*D/f+L</f>
        <v>124.98321368278066</v>
      </c>
      <c r="F65">
        <f>E65/3.28</f>
        <v>38.104638317920937</v>
      </c>
      <c r="G65">
        <f>G64+0.01</f>
        <v>0.95927482794292351</v>
      </c>
      <c r="H65">
        <f>(Gam/Z/Rg)^0.5*G65*(1+G65^2*(Gam-1)/2)^(-(Gam+1)/2/(Gam-1))</f>
        <v>9.361096400674393E-2</v>
      </c>
      <c r="I65">
        <f>K65/(1+(Gam-1)/2*G65^2)^(Gam/(Gam-1))</f>
        <v>55.836972129745817</v>
      </c>
      <c r="J65" s="21">
        <f>I65*6.89476</f>
        <v>384.98252196128624</v>
      </c>
      <c r="K65">
        <f>mdot*Q65^0.5/A/H65/gc^0.5/144</f>
        <v>100.85705294616548</v>
      </c>
      <c r="L65" s="21">
        <f>K65*6.89476</f>
        <v>695.38517437110386</v>
      </c>
      <c r="M65">
        <f>Q65/(1+(Gam-1)/2*G65^2)</f>
        <v>557.13412283257492</v>
      </c>
      <c r="N65">
        <f>M65/1.8</f>
        <v>309.51895712920827</v>
      </c>
      <c r="O65">
        <f>M65-'Example 7.3 - Pipe P1'!$C$8</f>
        <v>97.464122832574901</v>
      </c>
      <c r="P65">
        <f>N65-'Example 7.3 - Pipe P1'!$C$9</f>
        <v>36.368957129208297</v>
      </c>
      <c r="Q65">
        <f>Q64</f>
        <v>659.67000000000007</v>
      </c>
      <c r="R65">
        <f>R64</f>
        <v>366.48333333333335</v>
      </c>
      <c r="S65">
        <f>Q65-'Example 7.3 - Pipe P1'!$C$8</f>
        <v>200.00000000000006</v>
      </c>
      <c r="T65">
        <f>R65-'Example 7.3 - Pipe P1'!$C$9</f>
        <v>93.333333333333371</v>
      </c>
      <c r="U65">
        <f>I65/M65/Rg/Z*144</f>
        <v>0.27049905288689624</v>
      </c>
      <c r="V65">
        <f>U65*16.01846</f>
        <v>4.3329782587066319</v>
      </c>
      <c r="W65">
        <f>(Gam*I65/U65*gc*144)^0.5</f>
        <v>1157.1132004984584</v>
      </c>
      <c r="X65">
        <f>W65/3.28</f>
        <v>352.77841478611538</v>
      </c>
      <c r="Y65">
        <f>G65*W65</f>
        <v>1109.9895663186442</v>
      </c>
      <c r="Z65">
        <f>Y65/3.28</f>
        <v>338.41145314592814</v>
      </c>
      <c r="AB65">
        <f>E65/$E$122</f>
        <v>0.83319466218416083</v>
      </c>
      <c r="AC65">
        <f>G65</f>
        <v>0.95927482794292351</v>
      </c>
      <c r="AD65">
        <f>I65/$I$3</f>
        <v>0.14173351650537316</v>
      </c>
      <c r="AE65">
        <f>K65/$K$3</f>
        <v>0.25214263236541368</v>
      </c>
      <c r="AF65">
        <f>M65/$M$3</f>
        <v>0.84824594899524597</v>
      </c>
      <c r="AG65">
        <f>U65/$U$3</f>
        <v>0.16709011893691633</v>
      </c>
      <c r="AH65">
        <f>Y65/$Y$3</f>
        <v>5.984794351469354</v>
      </c>
    </row>
    <row r="66" spans="1:34" x14ac:dyDescent="0.25">
      <c r="A66" s="40" t="s">
        <v>127</v>
      </c>
      <c r="E66">
        <f>(1/Gam*(1/M_3^2-1/G66^2)+(Gam+1)/2/Gam*LN((M_3^2/G66^2)*(1+G66^2*(Gam-1)/2)/(1+M_3^2*(Gam-1)/2)))*D/f+L</f>
        <v>124.99708801530811</v>
      </c>
      <c r="F66">
        <f>E66/3.28</f>
        <v>38.108868297350035</v>
      </c>
      <c r="G66">
        <f>G65+0.01</f>
        <v>0.96927482794292352</v>
      </c>
      <c r="H66">
        <f>(Gam/Z/Rg)^0.5*G66*(1+G66^2*(Gam-1)/2)^(-(Gam+1)/2/(Gam-1))</f>
        <v>9.3668435516574985E-2</v>
      </c>
      <c r="I66">
        <f>K66/(1+(Gam-1)/2*G66^2)^(Gam/(Gam-1))</f>
        <v>55.171113735213019</v>
      </c>
      <c r="J66" s="21">
        <f>I66*6.89476</f>
        <v>380.39158813699731</v>
      </c>
      <c r="K66">
        <f>mdot*Q66^0.5/A/H66/gc^0.5/144</f>
        <v>100.79517076485264</v>
      </c>
      <c r="L66" s="21">
        <f>K66*6.89476</f>
        <v>694.95851158267533</v>
      </c>
      <c r="M66">
        <f>Q66/(1+(Gam-1)/2*G66^2)</f>
        <v>555.32511203708725</v>
      </c>
      <c r="N66">
        <f>M66/1.8</f>
        <v>308.51395113171515</v>
      </c>
      <c r="O66">
        <f>M66-'Example 7.3 - Pipe P1'!$C$8</f>
        <v>95.655112037087235</v>
      </c>
      <c r="P66">
        <f>N66-'Example 7.3 - Pipe P1'!$C$9</f>
        <v>35.363951131715169</v>
      </c>
      <c r="Q66">
        <f>Q65</f>
        <v>659.67000000000007</v>
      </c>
      <c r="R66">
        <f>R65</f>
        <v>366.48333333333335</v>
      </c>
      <c r="S66">
        <f>Q66-'Example 7.3 - Pipe P1'!$C$8</f>
        <v>200.00000000000006</v>
      </c>
      <c r="T66">
        <f>R66-'Example 7.3 - Pipe P1'!$C$9</f>
        <v>93.333333333333371</v>
      </c>
      <c r="U66">
        <f>I66/M66/Rg/Z*144</f>
        <v>0.26814400135193794</v>
      </c>
      <c r="V66">
        <f>U66*16.01846</f>
        <v>4.2952539598959643</v>
      </c>
      <c r="W66">
        <f>(Gam*I66/U66*gc*144)^0.5</f>
        <v>1155.2331036547523</v>
      </c>
      <c r="X66">
        <f>W66/3.28</f>
        <v>352.20521452888789</v>
      </c>
      <c r="Y66">
        <f>G66*W66</f>
        <v>1119.7383677789296</v>
      </c>
      <c r="Z66">
        <f>Y66/3.28</f>
        <v>341.38364871308829</v>
      </c>
      <c r="AB66">
        <f>E66/$E$122</f>
        <v>0.83328715476346504</v>
      </c>
      <c r="AC66">
        <f>G66</f>
        <v>0.96927482794292352</v>
      </c>
      <c r="AD66">
        <f>I66/$I$3</f>
        <v>0.14004333797039703</v>
      </c>
      <c r="AE66">
        <f>K66/$K$3</f>
        <v>0.25198792691213162</v>
      </c>
      <c r="AF66">
        <f>M66/$M$3</f>
        <v>0.8454917000342248</v>
      </c>
      <c r="AG66">
        <f>U66/$U$3</f>
        <v>0.16563537875620568</v>
      </c>
      <c r="AH66">
        <f>Y66/$Y$3</f>
        <v>6.0373575229472767</v>
      </c>
    </row>
    <row r="67" spans="1:34" x14ac:dyDescent="0.25">
      <c r="A67" s="40" t="s">
        <v>127</v>
      </c>
      <c r="E67">
        <f>(1/Gam*(1/M_3^2-1/G67^2)+(Gam+1)/2/Gam*LN((M_3^2/G67^2)*(1+G67^2*(Gam-1)/2)/(1+M_3^2*(Gam-1)/2)))*D/f+L</f>
        <v>125.00679429907285</v>
      </c>
      <c r="F67">
        <f>E67/3.28</f>
        <v>38.11182753020514</v>
      </c>
      <c r="G67">
        <f>G66+0.01</f>
        <v>0.97927482794292353</v>
      </c>
      <c r="H67">
        <f>(Gam/Z/Rg)^0.5*G67*(1+G67^2*(Gam-1)/2)^(-(Gam+1)/2/(Gam-1))</f>
        <v>9.3709494196113324E-2</v>
      </c>
      <c r="I67">
        <f>K67/(1+(Gam-1)/2*G67^2)^(Gam/(Gam-1))</f>
        <v>54.518371231748489</v>
      </c>
      <c r="J67" s="21">
        <f>I67*6.89476</f>
        <v>375.8910852338102</v>
      </c>
      <c r="K67">
        <f>mdot*Q67^0.5/A/H67/gc^0.5/144</f>
        <v>100.75100750635949</v>
      </c>
      <c r="L67" s="21">
        <f>K67*6.89476</f>
        <v>694.65401651454715</v>
      </c>
      <c r="M67">
        <f>Q67/(1+(Gam-1)/2*G67^2)</f>
        <v>553.50923297171482</v>
      </c>
      <c r="N67">
        <f>M67/1.8</f>
        <v>307.50512942873047</v>
      </c>
      <c r="O67">
        <f>M67-'Example 7.3 - Pipe P1'!$C$8</f>
        <v>93.839232971714807</v>
      </c>
      <c r="P67">
        <f>N67-'Example 7.3 - Pipe P1'!$C$9</f>
        <v>34.355129428730493</v>
      </c>
      <c r="Q67">
        <f>Q66</f>
        <v>659.67000000000007</v>
      </c>
      <c r="R67">
        <f>R66</f>
        <v>366.48333333333335</v>
      </c>
      <c r="S67">
        <f>Q67-'Example 7.3 - Pipe P1'!$C$8</f>
        <v>200.00000000000006</v>
      </c>
      <c r="T67">
        <f>R67-'Example 7.3 - Pipe P1'!$C$9</f>
        <v>93.333333333333371</v>
      </c>
      <c r="U67">
        <f>I67/M67/Rg/Z*144</f>
        <v>0.26584080935864085</v>
      </c>
      <c r="V67">
        <f>U67*16.01846</f>
        <v>4.2583603710790143</v>
      </c>
      <c r="W67">
        <f>(Gam*I67/U67*gc*144)^0.5</f>
        <v>1153.3427863773845</v>
      </c>
      <c r="X67">
        <f>W67/3.28</f>
        <v>351.62889828578801</v>
      </c>
      <c r="Y67">
        <f>G67*W67</f>
        <v>1129.4395586889252</v>
      </c>
      <c r="Z67">
        <f>Y67/3.28</f>
        <v>344.34132886857481</v>
      </c>
      <c r="AB67">
        <f>E67/$E$122</f>
        <v>0.83335186124351246</v>
      </c>
      <c r="AC67">
        <f>G67</f>
        <v>0.97927482794292353</v>
      </c>
      <c r="AD67">
        <f>I67/$I$3</f>
        <v>0.1383864520960417</v>
      </c>
      <c r="AE67">
        <f>K67/$K$3</f>
        <v>0.2518775187658987</v>
      </c>
      <c r="AF67">
        <f>M67/$M$3</f>
        <v>0.84272699401830853</v>
      </c>
      <c r="AG67">
        <f>U67/$U$3</f>
        <v>0.16421267276153634</v>
      </c>
      <c r="AH67">
        <f>Y67/$Y$3</f>
        <v>6.089663989892931</v>
      </c>
    </row>
    <row r="68" spans="1:34" x14ac:dyDescent="0.25">
      <c r="A68" s="40" t="s">
        <v>127</v>
      </c>
      <c r="E68">
        <f>(1/Gam*(1/M_3^2-1/G68^2)+(Gam+1)/2/Gam*LN((M_3^2/G68^2)*(1+G68^2*(Gam-1)/2)/(1+M_3^2*(Gam-1)/2)))*D/f+L</f>
        <v>125.01256202892627</v>
      </c>
      <c r="F68">
        <f>E68/3.28</f>
        <v>38.113585984428745</v>
      </c>
      <c r="G68">
        <f>G67+0.01</f>
        <v>0.98927482794292354</v>
      </c>
      <c r="H68">
        <f>(Gam/Z/Rg)^0.5*G68*(1+G68^2*(Gam-1)/2)^(-(Gam+1)/2/(Gam-1))</f>
        <v>9.3734394309237426E-2</v>
      </c>
      <c r="I68">
        <f>K68/(1+(Gam-1)/2*G68^2)^(Gam/(Gam-1))</f>
        <v>53.878356699297306</v>
      </c>
      <c r="J68" s="21">
        <f>I68*6.89476</f>
        <v>371.47833863604711</v>
      </c>
      <c r="K68">
        <f>mdot*Q68^0.5/A/H68/gc^0.5/144</f>
        <v>100.72424346203228</v>
      </c>
      <c r="L68" s="21">
        <f>K68*6.89476</f>
        <v>694.46948485228165</v>
      </c>
      <c r="M68">
        <f>Q68/(1+(Gam-1)/2*G68^2)</f>
        <v>551.68673502699301</v>
      </c>
      <c r="N68">
        <f>M68/1.8</f>
        <v>306.49263057055168</v>
      </c>
      <c r="O68">
        <f>M68-'Example 7.3 - Pipe P1'!$C$8</f>
        <v>92.01673502699299</v>
      </c>
      <c r="P68">
        <f>N68-'Example 7.3 - Pipe P1'!$C$9</f>
        <v>33.342630570551705</v>
      </c>
      <c r="Q68">
        <f>Q67</f>
        <v>659.67000000000007</v>
      </c>
      <c r="R68">
        <f>R67</f>
        <v>366.48333333333335</v>
      </c>
      <c r="S68">
        <f>Q68-'Example 7.3 - Pipe P1'!$C$8</f>
        <v>200.00000000000006</v>
      </c>
      <c r="T68">
        <f>R68-'Example 7.3 - Pipe P1'!$C$9</f>
        <v>93.333333333333371</v>
      </c>
      <c r="U68">
        <f>I68/M68/Rg/Z*144</f>
        <v>0.26358788600478239</v>
      </c>
      <c r="V68">
        <f>U68*16.01846</f>
        <v>4.2222720084521672</v>
      </c>
      <c r="W68">
        <f>(Gam*I68/U68*gc*144)^0.5</f>
        <v>1151.4424585852234</v>
      </c>
      <c r="X68">
        <f>W68/3.28</f>
        <v>351.04953005647059</v>
      </c>
      <c r="Y68">
        <f>G68*W68</f>
        <v>1139.0930401030737</v>
      </c>
      <c r="Z68">
        <f>Y68/3.28</f>
        <v>347.28446344605908</v>
      </c>
      <c r="AB68">
        <f>E68/$E$122</f>
        <v>0.83339031154083787</v>
      </c>
      <c r="AC68">
        <f>G68</f>
        <v>0.98927482794292354</v>
      </c>
      <c r="AD68">
        <f>I68/$I$3</f>
        <v>0.13676187420725386</v>
      </c>
      <c r="AE68">
        <f>K68/$K$3</f>
        <v>0.2518106086550807</v>
      </c>
      <c r="AF68">
        <f>M68/$M$3</f>
        <v>0.8399522106487266</v>
      </c>
      <c r="AG68">
        <f>U68/$U$3</f>
        <v>0.16282101823582024</v>
      </c>
      <c r="AH68">
        <f>Y68/$Y$3</f>
        <v>6.1417132188158856</v>
      </c>
    </row>
    <row r="69" spans="1:34" x14ac:dyDescent="0.25">
      <c r="A69" s="40" t="s">
        <v>127</v>
      </c>
      <c r="E69">
        <f>(1/Gam*(1/M_3^2-1/G69^2)+(Gam+1)/2/Gam*LN((M_3^2/G69^2)*(1+G69^2*(Gam-1)/2)/(1+M_3^2*(Gam-1)/2)))*D/f+L</f>
        <v>125.01460804526567</v>
      </c>
      <c r="F69">
        <f>E69/3.28</f>
        <v>38.114209769898075</v>
      </c>
      <c r="G69">
        <f>G68+0.01</f>
        <v>0.99927482794292355</v>
      </c>
      <c r="H69">
        <f>(Gam/Z/Rg)^0.5*G69*(1+G69^2*(Gam-1)/2)^(-(Gam+1)/2/(Gam-1))</f>
        <v>9.3743392672650694E-2</v>
      </c>
      <c r="I69">
        <f>K69/(1+(Gam-1)/2*G69^2)^(Gam/(Gam-1))</f>
        <v>53.250697704283724</v>
      </c>
      <c r="J69" s="21">
        <f>I69*6.89476</f>
        <v>367.15078050358721</v>
      </c>
      <c r="K69">
        <f>mdot*Q69^0.5/A/H69/gc^0.5/144</f>
        <v>100.71457501158093</v>
      </c>
      <c r="L69" s="21">
        <f>K69*6.89476</f>
        <v>694.40282320684776</v>
      </c>
      <c r="M69">
        <f>Q69/(1+(Gam-1)/2*G69^2)</f>
        <v>549.85786566047409</v>
      </c>
      <c r="N69">
        <f>M69/1.8</f>
        <v>305.47659203359672</v>
      </c>
      <c r="O69">
        <f>M69-'Example 7.3 - Pipe P1'!$C$8</f>
        <v>90.187865660474074</v>
      </c>
      <c r="P69">
        <f>N69-'Example 7.3 - Pipe P1'!$C$9</f>
        <v>32.326592033596739</v>
      </c>
      <c r="Q69">
        <f>Q68</f>
        <v>659.67000000000007</v>
      </c>
      <c r="R69">
        <f>R68</f>
        <v>366.48333333333335</v>
      </c>
      <c r="S69">
        <f>Q69-'Example 7.3 - Pipe P1'!$C$8</f>
        <v>200.00000000000006</v>
      </c>
      <c r="T69">
        <f>R69-'Example 7.3 - Pipe P1'!$C$9</f>
        <v>93.333333333333371</v>
      </c>
      <c r="U69">
        <f>I69/M69/Rg/Z*144</f>
        <v>0.26138370403432709</v>
      </c>
      <c r="V69">
        <f>U69*16.01846</f>
        <v>4.1869644077257071</v>
      </c>
      <c r="W69">
        <f>(Gam*I69/U69*gc*144)^0.5</f>
        <v>1149.5323292994653</v>
      </c>
      <c r="X69">
        <f>W69/3.28</f>
        <v>350.46717356691016</v>
      </c>
      <c r="Y69">
        <f>G69*W69</f>
        <v>1148.6987205755513</v>
      </c>
      <c r="Z69">
        <f>Y69/3.28</f>
        <v>350.21302456571686</v>
      </c>
      <c r="AB69">
        <f>E69/$E$122</f>
        <v>0.83340395121165844</v>
      </c>
      <c r="AC69">
        <f>G69</f>
        <v>0.99927482794292355</v>
      </c>
      <c r="AD69">
        <f>I69/$I$3</f>
        <v>0.13516865893901203</v>
      </c>
      <c r="AE69">
        <f>K69/$K$3</f>
        <v>0.25178643752895236</v>
      </c>
      <c r="AF69">
        <f>M69/$M$3</f>
        <v>0.83716772668370953</v>
      </c>
      <c r="AG69">
        <f>U69/$U$3</f>
        <v>0.16145947177689057</v>
      </c>
      <c r="AH69">
        <f>Y69/$Y$3</f>
        <v>6.1935047166624528</v>
      </c>
    </row>
    <row r="70" spans="1:34" x14ac:dyDescent="0.25">
      <c r="A70" s="40" t="s">
        <v>127</v>
      </c>
      <c r="E70">
        <f>(1/Gam*(1/M_3^2-1/G70^2)+(Gam+1)/2/Gam*LN((M_3^2/G70^2)*(1+G70^2*(Gam-1)/2)/(1+M_3^2*(Gam-1)/2)))*D/f+L</f>
        <v>125.0146172643758</v>
      </c>
      <c r="F70">
        <f>E70/3.28</f>
        <v>38.114212580602377</v>
      </c>
      <c r="G70">
        <v>1</v>
      </c>
      <c r="H70">
        <f>(Gam/Z/Rg)^0.5*G70*(1+G70^2*(Gam-1)/2)^(-(Gam+1)/2/(Gam-1))</f>
        <v>9.3743433770267531E-2</v>
      </c>
      <c r="I70">
        <f>K70/(1+(Gam-1)/2*G70^2)^(Gam/(Gam-1))</f>
        <v>53.20565241064395</v>
      </c>
      <c r="J70" s="21">
        <f>I70*6.89476</f>
        <v>366.84020401481149</v>
      </c>
      <c r="K70">
        <f>mdot*Q70^0.5/A/H70/gc^0.5/144</f>
        <v>100.71453085777893</v>
      </c>
      <c r="L70" s="21">
        <f>K70*6.89476</f>
        <v>694.40251877697983</v>
      </c>
      <c r="M70">
        <f>Q70/(1+(Gam-1)/2*G70^2)</f>
        <v>549.72500000000014</v>
      </c>
      <c r="N70">
        <f>M70/1.8</f>
        <v>305.40277777777783</v>
      </c>
      <c r="O70">
        <f>M70-'Example 7.3 - Pipe P1'!$C$8</f>
        <v>90.055000000000121</v>
      </c>
      <c r="P70">
        <f>N70-'Example 7.3 - Pipe P1'!$C$9</f>
        <v>32.252777777777851</v>
      </c>
      <c r="Q70">
        <f>Q69</f>
        <v>659.67000000000007</v>
      </c>
      <c r="R70">
        <f>R69</f>
        <v>366.48333333333335</v>
      </c>
      <c r="S70">
        <f>Q70-'Example 7.3 - Pipe P1'!$C$8</f>
        <v>200.00000000000006</v>
      </c>
      <c r="T70">
        <f>R70-'Example 7.3 - Pipe P1'!$C$9</f>
        <v>93.333333333333371</v>
      </c>
      <c r="U70">
        <f>I70/M70/Rg/Z*144</f>
        <v>0.26122571860040111</v>
      </c>
      <c r="V70">
        <f>U70*16.01846</f>
        <v>4.1844337243717815</v>
      </c>
      <c r="W70">
        <f>(Gam*I70/U70*gc*144)^0.5</f>
        <v>1149.3934364970639</v>
      </c>
      <c r="X70">
        <f>W70/3.28</f>
        <v>350.42482820032438</v>
      </c>
      <c r="Y70">
        <f>G70*W70</f>
        <v>1149.3934364970639</v>
      </c>
      <c r="Z70">
        <f>Y70/3.28</f>
        <v>350.42482820032438</v>
      </c>
      <c r="AB70">
        <f>E70/$E$122</f>
        <v>0.83340401267041853</v>
      </c>
      <c r="AC70">
        <f>G70</f>
        <v>1</v>
      </c>
      <c r="AD70">
        <f>I70/$I$3</f>
        <v>0.13505431842902257</v>
      </c>
      <c r="AE70">
        <f>K70/$K$3</f>
        <v>0.25178632714444732</v>
      </c>
      <c r="AF70">
        <f>M70/$M$3</f>
        <v>0.83696543651041233</v>
      </c>
      <c r="AG70">
        <f>U70/$U$3</f>
        <v>0.1613618825074892</v>
      </c>
      <c r="AH70">
        <f>Y70/$Y$3</f>
        <v>6.1972504563064152</v>
      </c>
    </row>
    <row r="71" spans="1:34" x14ac:dyDescent="0.25">
      <c r="A71" s="38"/>
      <c r="B71" s="42" t="s">
        <v>128</v>
      </c>
      <c r="C71">
        <v>8.7266462599716474E-2</v>
      </c>
      <c r="D71">
        <v>20.833333333333332</v>
      </c>
      <c r="E71">
        <f>L+25</f>
        <v>125</v>
      </c>
      <c r="F71">
        <v>0</v>
      </c>
      <c r="G71">
        <v>0.48483526537382104</v>
      </c>
      <c r="H71">
        <v>6.8426214840237407E-2</v>
      </c>
      <c r="I71">
        <v>66.084662210764392</v>
      </c>
      <c r="J71" s="21">
        <v>455.63788562428988</v>
      </c>
      <c r="K71">
        <v>77.612737472876489</v>
      </c>
      <c r="L71" s="21">
        <v>535.12119781848992</v>
      </c>
      <c r="M71">
        <v>630.04945539775247</v>
      </c>
      <c r="N71">
        <v>350.0274752209736</v>
      </c>
      <c r="O71">
        <v>170.37945539775245</v>
      </c>
      <c r="P71">
        <v>76.877475220973622</v>
      </c>
      <c r="Q71">
        <v>659.67000000000007</v>
      </c>
      <c r="R71">
        <v>366.48333333333335</v>
      </c>
      <c r="S71">
        <v>200.00000000000006</v>
      </c>
      <c r="T71">
        <v>93.333333333333371</v>
      </c>
      <c r="U71">
        <v>0.28309335902498617</v>
      </c>
      <c r="V71">
        <v>4.5347196478073801</v>
      </c>
      <c r="W71">
        <v>1230.5047346391334</v>
      </c>
      <c r="X71">
        <v>375.15388251193093</v>
      </c>
      <c r="Y71">
        <v>596.59208956250745</v>
      </c>
      <c r="Z71">
        <v>181.8878321836913</v>
      </c>
      <c r="AB71">
        <f>E71/$E$122</f>
        <v>0.83330656737120767</v>
      </c>
      <c r="AC71">
        <f>G71</f>
        <v>0.48483526537382104</v>
      </c>
      <c r="AD71">
        <f>I71/$I$3</f>
        <v>0.1677456925930203</v>
      </c>
      <c r="AE71">
        <f>K71/$K$3</f>
        <v>0.19403184368219123</v>
      </c>
      <c r="AF71">
        <f>M71/$M$3</f>
        <v>0.95926075303129255</v>
      </c>
      <c r="AG71">
        <f>U71/$U$3</f>
        <v>0.17486975471782715</v>
      </c>
      <c r="AH71">
        <f>Y71/$Y$3</f>
        <v>3.2166797563572929</v>
      </c>
    </row>
    <row r="72" spans="1:34" x14ac:dyDescent="0.25">
      <c r="A72" s="38"/>
      <c r="B72" s="42" t="s">
        <v>128</v>
      </c>
      <c r="C72">
        <v>8.7266462599716474E-2</v>
      </c>
      <c r="D72">
        <v>20.833333333333332</v>
      </c>
      <c r="E72">
        <f>(1/Gam*(1/M_4^2-1/G72^2)+(Gam+1)/2/Gam*LN((M_4^2/G72^2)*(1+G72^2*(Gam-1)/2)/(1+M_4^2*(Gam-1)/2)))*D72+125</f>
        <v>126.83705362010593</v>
      </c>
      <c r="F72">
        <f>E72/3.28</f>
        <v>38.669833420764007</v>
      </c>
      <c r="G72">
        <f>G71+0.01</f>
        <v>0.49483526537382105</v>
      </c>
      <c r="H72">
        <f>(Gam/Z/Rg)^0.5*G72*(1+G72^2*(Gam-1)/2)^(-(Gam+1)/2/(Gam-1))</f>
        <v>6.9446932758560564E-2</v>
      </c>
      <c r="I72">
        <f>K72/(1+(Gam-1)/2*G72^2)^(Gam/(Gam-1))</f>
        <v>64.688674390915651</v>
      </c>
      <c r="J72" s="21">
        <f>I72*6.89476</f>
        <v>446.01288464350955</v>
      </c>
      <c r="K72">
        <f>mdot*Q72^0.5/C72/H72/gc^0.5/144</f>
        <v>76.472000097129538</v>
      </c>
      <c r="L72" s="21">
        <f>K72*6.89476</f>
        <v>527.25608738968481</v>
      </c>
      <c r="M72">
        <f>Q72/(1+(Gam-1)/2*G72^2)</f>
        <v>628.87260671909394</v>
      </c>
      <c r="N72">
        <f>M72/1.8</f>
        <v>349.37367039949663</v>
      </c>
      <c r="O72">
        <f>M72-'Example 7.3 - Pipe P1'!$C$8</f>
        <v>169.20260671909392</v>
      </c>
      <c r="P72">
        <f>N72-'Example 7.3 - Pipe P1'!$C$9</f>
        <v>76.223670399496655</v>
      </c>
      <c r="Q72">
        <f>Q71</f>
        <v>659.67000000000007</v>
      </c>
      <c r="R72">
        <f>R71</f>
        <v>366.48333333333335</v>
      </c>
      <c r="S72">
        <f>Q72-'Example 7.3 - Pipe P1'!$C$8</f>
        <v>200.00000000000006</v>
      </c>
      <c r="T72">
        <f>R72-'Example 7.3 - Pipe P1'!$C$9</f>
        <v>93.333333333333371</v>
      </c>
      <c r="U72">
        <f>I72/M72/Rg/Z*144</f>
        <v>0.27763180820635347</v>
      </c>
      <c r="V72">
        <f>U72*16.01846</f>
        <v>4.4472340144811451</v>
      </c>
      <c r="W72">
        <f>(Gam*I72/U72*gc*144)^0.5</f>
        <v>1229.354987810638</v>
      </c>
      <c r="X72">
        <f>W72/3.28</f>
        <v>374.80334994226769</v>
      </c>
      <c r="Y72">
        <f>G72*W72</f>
        <v>608.32820163190763</v>
      </c>
      <c r="Z72">
        <f>Y72/3.28</f>
        <v>185.46591513167917</v>
      </c>
      <c r="AB72">
        <f>E72/$E$122</f>
        <v>0.84555319814118635</v>
      </c>
      <c r="AC72">
        <f>G72</f>
        <v>0.49483526537382105</v>
      </c>
      <c r="AD72">
        <f>I72/$I$3</f>
        <v>0.16420219345330914</v>
      </c>
      <c r="AE72">
        <f>K72/$K$3</f>
        <v>0.19118000024282383</v>
      </c>
      <c r="AF72">
        <f>M72/$M$3</f>
        <v>0.9574689813853966</v>
      </c>
      <c r="AG72">
        <f>U72/$U$3</f>
        <v>0.1714960971536843</v>
      </c>
      <c r="AH72">
        <f>Y72/$Y$3</f>
        <v>3.2799580243270605</v>
      </c>
    </row>
    <row r="73" spans="1:34" x14ac:dyDescent="0.25">
      <c r="A73" s="38"/>
      <c r="B73" s="42" t="s">
        <v>128</v>
      </c>
      <c r="C73">
        <v>8.7266462599716474E-2</v>
      </c>
      <c r="D73">
        <v>20.833333333333332</v>
      </c>
      <c r="E73">
        <f>(1/Gam*(1/M_4^2-1/G73^2)+(Gam+1)/2/Gam*LN((M_4^2/G73^2)*(1+G73^2*(Gam-1)/2)/(1+M_4^2*(Gam-1)/2)))*D73+125</f>
        <v>128.54029630434135</v>
      </c>
      <c r="F73">
        <f>E73/3.28</f>
        <v>39.18911472693334</v>
      </c>
      <c r="G73">
        <f>G72+0.01</f>
        <v>0.50483526537382106</v>
      </c>
      <c r="H73">
        <f>(Gam/Z/Rg)^0.5*G73*(1+G73^2*(Gam-1)/2)^(-(Gam+1)/2/(Gam-1))</f>
        <v>7.0446785248523269E-2</v>
      </c>
      <c r="I73">
        <f>K73/(1+(Gam-1)/2*G73^2)^(Gam/(Gam-1))</f>
        <v>63.346951648815434</v>
      </c>
      <c r="J73" s="21">
        <f>I73*6.89476</f>
        <v>436.76202835018671</v>
      </c>
      <c r="K73">
        <f>mdot*Q73^0.5/C73/H73/gc^0.5/144</f>
        <v>75.386631624461799</v>
      </c>
      <c r="L73" s="21">
        <f>K73*6.89476</f>
        <v>519.77273225907425</v>
      </c>
      <c r="M73">
        <f>Q73/(1+(Gam-1)/2*G73^2)</f>
        <v>627.67625596071548</v>
      </c>
      <c r="N73">
        <f>M73/1.8</f>
        <v>348.70903108928638</v>
      </c>
      <c r="O73">
        <f>M73-'Example 7.3 - Pipe P1'!$C$8</f>
        <v>168.00625596071546</v>
      </c>
      <c r="P73">
        <f>N73-'Example 7.3 - Pipe P1'!$C$9</f>
        <v>75.559031089286407</v>
      </c>
      <c r="Q73">
        <f>Q72</f>
        <v>659.67000000000007</v>
      </c>
      <c r="R73">
        <f>R72</f>
        <v>366.48333333333335</v>
      </c>
      <c r="S73">
        <f>Q73-'Example 7.3 - Pipe P1'!$C$8</f>
        <v>200.00000000000006</v>
      </c>
      <c r="T73">
        <f>R73-'Example 7.3 - Pipe P1'!$C$9</f>
        <v>93.333333333333371</v>
      </c>
      <c r="U73">
        <f>I73/M73/Rg/Z*144</f>
        <v>0.27239157331161845</v>
      </c>
      <c r="V73">
        <f>U73*16.01846</f>
        <v>4.3632935214292283</v>
      </c>
      <c r="W73">
        <f>(Gam*I73/U73*gc*144)^0.5</f>
        <v>1228.1850847996145</v>
      </c>
      <c r="X73">
        <f>W73/3.28</f>
        <v>374.44667219500445</v>
      </c>
      <c r="Y73">
        <f>G73*W73</f>
        <v>620.03114321298233</v>
      </c>
      <c r="Z73">
        <f>Y73/3.28</f>
        <v>189.03388512590925</v>
      </c>
      <c r="AB73">
        <f>E73/$E$122</f>
        <v>0.856907784657989</v>
      </c>
      <c r="AC73">
        <f>G73</f>
        <v>0.50483526537382106</v>
      </c>
      <c r="AD73">
        <f>I73/$I$3</f>
        <v>0.160796437819368</v>
      </c>
      <c r="AE73">
        <f>K73/$K$3</f>
        <v>0.18846657906115449</v>
      </c>
      <c r="AF73">
        <f>M73/$M$3</f>
        <v>0.9556475174994431</v>
      </c>
      <c r="AG73">
        <f>U73/$U$3</f>
        <v>0.16825914877078271</v>
      </c>
      <c r="AH73">
        <f>Y73/$Y$3</f>
        <v>3.3430574450741251</v>
      </c>
    </row>
    <row r="74" spans="1:34" x14ac:dyDescent="0.25">
      <c r="A74" s="38"/>
      <c r="B74" s="42" t="s">
        <v>128</v>
      </c>
      <c r="C74">
        <v>8.7266462599716474E-2</v>
      </c>
      <c r="D74">
        <v>20.833333333333332</v>
      </c>
      <c r="E74">
        <f>(1/Gam*(1/M_4^2-1/G74^2)+(Gam+1)/2/Gam*LN((M_4^2/G74^2)*(1+G74^2*(Gam-1)/2)/(1+M_4^2*(Gam-1)/2)))*D74+125</f>
        <v>130.12061669601772</v>
      </c>
      <c r="F74">
        <f>E74/3.28</f>
        <v>39.670919724395645</v>
      </c>
      <c r="G74">
        <f>G73+0.01</f>
        <v>0.51483526537382107</v>
      </c>
      <c r="H74">
        <f>(Gam/Z/Rg)^0.5*G74*(1+G74^2*(Gam-1)/2)^(-(Gam+1)/2/(Gam-1))</f>
        <v>7.1425628850543571E-2</v>
      </c>
      <c r="I74">
        <f>K74/(1+(Gam-1)/2*G74^2)^(Gam/(Gam-1))</f>
        <v>62.056341239105819</v>
      </c>
      <c r="J74" s="21">
        <f>I74*6.89476</f>
        <v>427.86357932173723</v>
      </c>
      <c r="K74">
        <f>mdot*Q74^0.5/C74/H74/gc^0.5/144</f>
        <v>74.353504955071543</v>
      </c>
      <c r="L74" s="21">
        <f>K74*6.89476</f>
        <v>512.64957182402907</v>
      </c>
      <c r="M74">
        <f>Q74/(1+(Gam-1)/2*G74^2)</f>
        <v>626.46065054263431</v>
      </c>
      <c r="N74">
        <f>M74/1.8</f>
        <v>348.03369474590795</v>
      </c>
      <c r="O74">
        <f>M74-'Example 7.3 - Pipe P1'!$C$8</f>
        <v>166.7906505426343</v>
      </c>
      <c r="P74">
        <f>N74-'Example 7.3 - Pipe P1'!$C$9</f>
        <v>74.883694745907974</v>
      </c>
      <c r="Q74">
        <f>Q73</f>
        <v>659.67000000000007</v>
      </c>
      <c r="R74">
        <f>R73</f>
        <v>366.48333333333335</v>
      </c>
      <c r="S74">
        <f>Q74-'Example 7.3 - Pipe P1'!$C$8</f>
        <v>200.00000000000006</v>
      </c>
      <c r="T74">
        <f>R74-'Example 7.3 - Pipe P1'!$C$9</f>
        <v>93.333333333333371</v>
      </c>
      <c r="U74">
        <f>I74/M74/Rg/Z*144</f>
        <v>0.26735974419227171</v>
      </c>
      <c r="V74">
        <f>U74*16.01846</f>
        <v>4.2826913679541372</v>
      </c>
      <c r="W74">
        <f>(Gam*I74/U74*gc*144)^0.5</f>
        <v>1226.9952102514121</v>
      </c>
      <c r="X74">
        <f>W74/3.28</f>
        <v>374.08390556445494</v>
      </c>
      <c r="Y74">
        <f>G74*W74</f>
        <v>631.70040468219315</v>
      </c>
      <c r="Z74">
        <f>Y74/3.28</f>
        <v>192.59158679335158</v>
      </c>
      <c r="AB74">
        <f>E74/$E$122</f>
        <v>0.86744291554546549</v>
      </c>
      <c r="AC74">
        <f>G74</f>
        <v>0.51483526537382107</v>
      </c>
      <c r="AD74">
        <f>I74/$I$3</f>
        <v>0.15752042293479412</v>
      </c>
      <c r="AE74">
        <f>K74/$K$3</f>
        <v>0.18588376238767887</v>
      </c>
      <c r="AF74">
        <f>M74/$M$3</f>
        <v>0.95379673807451482</v>
      </c>
      <c r="AG74">
        <f>U74/$U$3</f>
        <v>0.16515093483417628</v>
      </c>
      <c r="AH74">
        <f>Y74/$Y$3</f>
        <v>3.4059752708320508</v>
      </c>
    </row>
    <row r="75" spans="1:34" x14ac:dyDescent="0.25">
      <c r="A75" s="38"/>
      <c r="B75" s="42" t="s">
        <v>128</v>
      </c>
      <c r="C75">
        <v>8.7266462599716474E-2</v>
      </c>
      <c r="D75">
        <v>20.833333333333332</v>
      </c>
      <c r="E75">
        <f>(1/Gam*(1/M_4^2-1/G75^2)+(Gam+1)/2/Gam*LN((M_4^2/G75^2)*(1+G75^2*(Gam-1)/2)/(1+M_4^2*(Gam-1)/2)))*D75+125</f>
        <v>131.58785472171493</v>
      </c>
      <c r="F75">
        <f>E75/3.28</f>
        <v>40.118248390766752</v>
      </c>
      <c r="G75">
        <f>G74+0.01</f>
        <v>0.52483526537382108</v>
      </c>
      <c r="H75">
        <f>(Gam/Z/Rg)^0.5*G75*(1+G75^2*(Gam-1)/2)^(-(Gam+1)/2/(Gam-1))</f>
        <v>7.2383332878014531E-2</v>
      </c>
      <c r="I75">
        <f>K75/(1+(Gam-1)/2*G75^2)^(Gam/(Gam-1))</f>
        <v>60.813930808721935</v>
      </c>
      <c r="J75" s="21">
        <f>I75*6.89476</f>
        <v>419.29745758274362</v>
      </c>
      <c r="K75">
        <f>mdot*Q75^0.5/C75/H75/gc^0.5/144</f>
        <v>73.369733576761845</v>
      </c>
      <c r="L75" s="21">
        <f>K75*6.89476</f>
        <v>505.86670427571448</v>
      </c>
      <c r="M75">
        <f>Q75/(1+(Gam-1)/2*G75^2)</f>
        <v>625.22604037054759</v>
      </c>
      <c r="N75">
        <f>M75/1.8</f>
        <v>347.34780020585976</v>
      </c>
      <c r="O75">
        <f>M75-'Example 7.3 - Pipe P1'!$C$8</f>
        <v>165.55604037054758</v>
      </c>
      <c r="P75">
        <f>N75-'Example 7.3 - Pipe P1'!$C$9</f>
        <v>74.197800205859778</v>
      </c>
      <c r="Q75">
        <f>Q74</f>
        <v>659.67000000000007</v>
      </c>
      <c r="R75">
        <f>R74</f>
        <v>366.48333333333335</v>
      </c>
      <c r="S75">
        <f>Q75-'Example 7.3 - Pipe P1'!$C$8</f>
        <v>200.00000000000006</v>
      </c>
      <c r="T75">
        <f>R75-'Example 7.3 - Pipe P1'!$C$9</f>
        <v>93.333333333333371</v>
      </c>
      <c r="U75">
        <f>I75/M75/Rg/Z*144</f>
        <v>0.26252439443374265</v>
      </c>
      <c r="V75">
        <f>U75*16.01846</f>
        <v>4.2052365112611296</v>
      </c>
      <c r="W75">
        <f>(Gam*I75/U75*gc*144)^0.5</f>
        <v>1225.7855509827452</v>
      </c>
      <c r="X75">
        <f>W75/3.28</f>
        <v>373.71510700693455</v>
      </c>
      <c r="Y75">
        <f>G75*W75</f>
        <v>643.33548494142462</v>
      </c>
      <c r="Z75">
        <f>Y75/3.28</f>
        <v>196.13886736019046</v>
      </c>
      <c r="AB75">
        <f>E75/$E$122</f>
        <v>0.87722418820714754</v>
      </c>
      <c r="AC75">
        <f>G75</f>
        <v>0.52483526537382108</v>
      </c>
      <c r="AD75">
        <f>I75/$I$3</f>
        <v>0.15436675624183507</v>
      </c>
      <c r="AE75">
        <f>K75/$K$3</f>
        <v>0.1834243339419046</v>
      </c>
      <c r="AF75">
        <f>M75/$M$3</f>
        <v>0.95191702359618335</v>
      </c>
      <c r="AG75">
        <f>U75/$U$3</f>
        <v>0.16216408827175216</v>
      </c>
      <c r="AH75">
        <f>Y75/$Y$3</f>
        <v>3.4687087998014134</v>
      </c>
    </row>
    <row r="76" spans="1:34" x14ac:dyDescent="0.25">
      <c r="A76" s="38"/>
      <c r="B76" s="42" t="s">
        <v>128</v>
      </c>
      <c r="C76">
        <v>8.7266462599716474E-2</v>
      </c>
      <c r="D76">
        <v>20.833333333333332</v>
      </c>
      <c r="E76">
        <f>(1/Gam*(1/M_4^2-1/G76^2)+(Gam+1)/2/Gam*LN((M_4^2/G76^2)*(1+G76^2*(Gam-1)/2)/(1+M_4^2*(Gam-1)/2)))*D76+125</f>
        <v>132.95091929847612</v>
      </c>
      <c r="F76">
        <f>E76/3.28</f>
        <v>40.533816859291505</v>
      </c>
      <c r="G76">
        <f>G75+0.01</f>
        <v>0.53483526537382109</v>
      </c>
      <c r="H76">
        <f>(Gam/Z/Rg)^0.5*G76*(1+G76^2*(Gam-1)/2)^(-(Gam+1)/2/(Gam-1))</f>
        <v>7.3319779343866007E-2</v>
      </c>
      <c r="I76">
        <f>K76/(1+(Gam-1)/2*G76^2)^(Gam/(Gam-1))</f>
        <v>59.617025919730054</v>
      </c>
      <c r="J76" s="21">
        <f>I76*6.89476</f>
        <v>411.045085630318</v>
      </c>
      <c r="K76">
        <f>mdot*Q76^0.5/C76/H76/gc^0.5/144</f>
        <v>72.432649091193611</v>
      </c>
      <c r="L76" s="21">
        <f>K76*6.89476</f>
        <v>499.40573164799804</v>
      </c>
      <c r="M76">
        <f>Q76/(1+(Gam-1)/2*G76^2)</f>
        <v>623.97267771730492</v>
      </c>
      <c r="N76">
        <f>M76/1.8</f>
        <v>346.65148762072494</v>
      </c>
      <c r="O76">
        <f>M76-'Example 7.3 - Pipe P1'!$C$8</f>
        <v>164.3026777173049</v>
      </c>
      <c r="P76">
        <f>N76-'Example 7.3 - Pipe P1'!$C$9</f>
        <v>73.501487620724959</v>
      </c>
      <c r="Q76">
        <f>Q75</f>
        <v>659.67000000000007</v>
      </c>
      <c r="R76">
        <f>R75</f>
        <v>366.48333333333335</v>
      </c>
      <c r="S76">
        <f>Q76-'Example 7.3 - Pipe P1'!$C$8</f>
        <v>200.00000000000006</v>
      </c>
      <c r="T76">
        <f>R76-'Example 7.3 - Pipe P1'!$C$9</f>
        <v>93.333333333333371</v>
      </c>
      <c r="U76">
        <f>I76/M76/Rg/Z*144</f>
        <v>0.25787448939274044</v>
      </c>
      <c r="V76">
        <f>U76*16.01846</f>
        <v>4.1307521933580373</v>
      </c>
      <c r="W76">
        <f>(Gam*I76/U76*gc*144)^0.5</f>
        <v>1224.5562959062638</v>
      </c>
      <c r="X76">
        <f>W76/3.28</f>
        <v>373.3403341177634</v>
      </c>
      <c r="Y76">
        <f>G76*W76</f>
        <v>654.93589148621004</v>
      </c>
      <c r="Z76">
        <f>Y76/3.28</f>
        <v>199.67557667262503</v>
      </c>
      <c r="AB76">
        <f>E76/$E$122</f>
        <v>0.88631099351567677</v>
      </c>
      <c r="AC76">
        <f>G76</f>
        <v>0.53483526537382109</v>
      </c>
      <c r="AD76">
        <f>I76/$I$3</f>
        <v>0.15132859832659024</v>
      </c>
      <c r="AE76">
        <f>K76/$K$3</f>
        <v>0.18108162272798403</v>
      </c>
      <c r="AF76">
        <f>M76/$M$3</f>
        <v>0.95000875815404939</v>
      </c>
      <c r="AG76">
        <f>U76/$U$3</f>
        <v>0.15929179286792575</v>
      </c>
      <c r="AH76">
        <f>Y76/$Y$3</f>
        <v>3.5312553765176578</v>
      </c>
    </row>
    <row r="77" spans="1:34" x14ac:dyDescent="0.25">
      <c r="A77" s="38"/>
      <c r="B77" s="42" t="s">
        <v>128</v>
      </c>
      <c r="C77">
        <v>8.7266462599716474E-2</v>
      </c>
      <c r="D77">
        <v>20.833333333333332</v>
      </c>
      <c r="E77">
        <f>(1/Gam*(1/M_4^2-1/G77^2)+(Gam+1)/2/Gam*LN((M_4^2/G77^2)*(1+G77^2*(Gam-1)/2)/(1+M_4^2*(Gam-1)/2)))*D77+125</f>
        <v>134.21789097288078</v>
      </c>
      <c r="F77">
        <f>E77/3.28</f>
        <v>40.920088711244141</v>
      </c>
      <c r="G77">
        <f>G76+0.01</f>
        <v>0.5448352653738211</v>
      </c>
      <c r="H77">
        <f>(Gam/Z/Rg)^0.5*G77*(1+G77^2*(Gam-1)/2)^(-(Gam+1)/2/(Gam-1))</f>
        <v>7.4234862875345961E-2</v>
      </c>
      <c r="I77">
        <f>K77/(1+(Gam-1)/2*G77^2)^(Gam/(Gam-1))</f>
        <v>58.463130047455287</v>
      </c>
      <c r="J77" s="21">
        <f>I77*6.89476</f>
        <v>403.08925052599278</v>
      </c>
      <c r="K77">
        <f>mdot*Q77^0.5/C77/H77/gc^0.5/144</f>
        <v>71.539781215407032</v>
      </c>
      <c r="L77" s="21">
        <f>K77*6.89476</f>
        <v>493.24962193273979</v>
      </c>
      <c r="M77">
        <f>Q77/(1+(Gam-1)/2*G77^2)</f>
        <v>622.70081710442287</v>
      </c>
      <c r="N77">
        <f>M77/1.8</f>
        <v>345.94489839134604</v>
      </c>
      <c r="O77">
        <f>M77-'Example 7.3 - Pipe P1'!$C$8</f>
        <v>163.03081710442285</v>
      </c>
      <c r="P77">
        <f>N77-'Example 7.3 - Pipe P1'!$C$9</f>
        <v>72.794898391346067</v>
      </c>
      <c r="Q77">
        <f>Q76</f>
        <v>659.67000000000007</v>
      </c>
      <c r="R77">
        <f>R76</f>
        <v>366.48333333333335</v>
      </c>
      <c r="S77">
        <f>Q77-'Example 7.3 - Pipe P1'!$C$8</f>
        <v>200.00000000000006</v>
      </c>
      <c r="T77">
        <f>R77-'Example 7.3 - Pipe P1'!$C$9</f>
        <v>93.333333333333371</v>
      </c>
      <c r="U77">
        <f>I77/M77/Rg/Z*144</f>
        <v>0.2533998043620117</v>
      </c>
      <c r="V77">
        <f>U77*16.01846</f>
        <v>4.0590746301807101</v>
      </c>
      <c r="W77">
        <f>(Gam*I77/U77*gc*144)^0.5</f>
        <v>1223.3076359549354</v>
      </c>
      <c r="X77">
        <f>W77/3.28</f>
        <v>372.95964510821204</v>
      </c>
      <c r="Y77">
        <f>G77*W77</f>
        <v>666.50114046932902</v>
      </c>
      <c r="Z77">
        <f>Y77/3.28</f>
        <v>203.20156721625887</v>
      </c>
      <c r="AB77">
        <f>E77/$E$122</f>
        <v>0.89475720005131432</v>
      </c>
      <c r="AC77">
        <f>G77</f>
        <v>0.5448352653738211</v>
      </c>
      <c r="AD77">
        <f>I77/$I$3</f>
        <v>0.14839961214735198</v>
      </c>
      <c r="AE77">
        <f>K77/$K$3</f>
        <v>0.17884945303851757</v>
      </c>
      <c r="AF77">
        <f>M77/$M$3</f>
        <v>0.94807232926134621</v>
      </c>
      <c r="AG77">
        <f>U77/$U$3</f>
        <v>0.15652773271314832</v>
      </c>
      <c r="AH77">
        <f>Y77/$Y$3</f>
        <v>3.5936123921939993</v>
      </c>
    </row>
    <row r="78" spans="1:34" x14ac:dyDescent="0.25">
      <c r="A78" s="38"/>
      <c r="B78" s="42" t="s">
        <v>128</v>
      </c>
      <c r="C78">
        <v>8.7266462599716474E-2</v>
      </c>
      <c r="D78">
        <v>20.833333333333332</v>
      </c>
      <c r="E78">
        <f>(1/Gam*(1/M_4^2-1/G78^2)+(Gam+1)/2/Gam*LN((M_4^2/G78^2)*(1+G78^2*(Gam-1)/2)/(1+M_4^2*(Gam-1)/2)))*D78+125</f>
        <v>135.39611165245395</v>
      </c>
      <c r="F78">
        <f>E78/3.28</f>
        <v>41.279302333065232</v>
      </c>
      <c r="G78">
        <f>G77+0.01</f>
        <v>0.55483526537382111</v>
      </c>
      <c r="H78">
        <f>(Gam/Z/Rg)^0.5*G78*(1+G78^2*(Gam-1)/2)^(-(Gam+1)/2/(Gam-1))</f>
        <v>7.5128490617340213E-2</v>
      </c>
      <c r="I78">
        <f>K78/(1+(Gam-1)/2*G78^2)^(Gam/(Gam-1))</f>
        <v>57.349926741609771</v>
      </c>
      <c r="J78" s="21">
        <f>I78*6.89476</f>
        <v>395.41398090098136</v>
      </c>
      <c r="K78">
        <f>mdot*Q78^0.5/C78/H78/gc^0.5/144</f>
        <v>70.688839946323014</v>
      </c>
      <c r="L78" s="21">
        <f>K78*6.89476</f>
        <v>487.38258610831008</v>
      </c>
      <c r="M78">
        <f>Q78/(1+(Gam-1)/2*G78^2)</f>
        <v>621.41071518373485</v>
      </c>
      <c r="N78">
        <f>M78/1.8</f>
        <v>345.22817510207489</v>
      </c>
      <c r="O78">
        <f>M78-'Example 7.3 - Pipe P1'!$C$8</f>
        <v>161.74071518373484</v>
      </c>
      <c r="P78">
        <f>N78-'Example 7.3 - Pipe P1'!$C$9</f>
        <v>72.078175102074908</v>
      </c>
      <c r="Q78">
        <f>Q77</f>
        <v>659.67000000000007</v>
      </c>
      <c r="R78">
        <f>R77</f>
        <v>366.48333333333335</v>
      </c>
      <c r="S78">
        <f>Q78-'Example 7.3 - Pipe P1'!$C$8</f>
        <v>200.00000000000006</v>
      </c>
      <c r="T78">
        <f>R78-'Example 7.3 - Pipe P1'!$C$9</f>
        <v>93.333333333333371</v>
      </c>
      <c r="U78">
        <f>I78/M78/Rg/Z*144</f>
        <v>0.24909085158480126</v>
      </c>
      <c r="V78">
        <f>U78*16.01846</f>
        <v>3.9900518424770759</v>
      </c>
      <c r="W78">
        <f>(Gam*I78/U78*gc*144)^0.5</f>
        <v>1222.039764006304</v>
      </c>
      <c r="X78">
        <f>W78/3.28</f>
        <v>372.57309878240977</v>
      </c>
      <c r="Y78">
        <f>G78*W78</f>
        <v>678.03075675979937</v>
      </c>
      <c r="Z78">
        <f>Y78/3.28</f>
        <v>206.71669413408517</v>
      </c>
      <c r="AB78">
        <f>E78/$E$122</f>
        <v>0.90261175229212143</v>
      </c>
      <c r="AC78">
        <f>G78</f>
        <v>0.55483526537382111</v>
      </c>
      <c r="AD78">
        <f>I78/$I$3</f>
        <v>0.14557391775338896</v>
      </c>
      <c r="AE78">
        <f>K78/$K$3</f>
        <v>0.17672209986580753</v>
      </c>
      <c r="AF78">
        <f>M78/$M$3</f>
        <v>0.94610812767475005</v>
      </c>
      <c r="AG78">
        <f>U78/$U$3</f>
        <v>0.15386604711996921</v>
      </c>
      <c r="AH78">
        <f>Y78/$Y$3</f>
        <v>3.6557772850394943</v>
      </c>
    </row>
    <row r="79" spans="1:34" x14ac:dyDescent="0.25">
      <c r="A79" s="38"/>
      <c r="B79" s="42" t="s">
        <v>128</v>
      </c>
      <c r="C79">
        <v>8.7266462599716474E-2</v>
      </c>
      <c r="D79">
        <v>20.833333333333332</v>
      </c>
      <c r="E79">
        <f>(1/Gam*(1/M_4^2-1/G79^2)+(Gam+1)/2/Gam*LN((M_4^2/G79^2)*(1+G79^2*(Gam-1)/2)/(1+M_4^2*(Gam-1)/2)))*D79+125</f>
        <v>136.49226324791218</v>
      </c>
      <c r="F79">
        <f>E79/3.28</f>
        <v>41.613494892656156</v>
      </c>
      <c r="G79">
        <f>G78+0.01</f>
        <v>0.56483526537382112</v>
      </c>
      <c r="H79">
        <f>(Gam/Z/Rg)^0.5*G79*(1+G79^2*(Gam-1)/2)^(-(Gam+1)/2/(Gam-1))</f>
        <v>7.6000582124562677E-2</v>
      </c>
      <c r="I79">
        <f>K79/(1+(Gam-1)/2*G79^2)^(Gam/(Gam-1))</f>
        <v>56.27526368236321</v>
      </c>
      <c r="J79" s="21">
        <f>I79*6.89476</f>
        <v>388.00443702661056</v>
      </c>
      <c r="K79">
        <f>mdot*Q79^0.5/C79/H79/gc^0.5/144</f>
        <v>69.877699620166581</v>
      </c>
      <c r="L79" s="21">
        <f>K79*6.89476</f>
        <v>481.78996823313975</v>
      </c>
      <c r="M79">
        <f>Q79/(1+(Gam-1)/2*G79^2)</f>
        <v>620.10263061926707</v>
      </c>
      <c r="N79">
        <f>M79/1.8</f>
        <v>344.50146145514839</v>
      </c>
      <c r="O79">
        <f>M79-'Example 7.3 - Pipe P1'!$C$8</f>
        <v>160.43263061926706</v>
      </c>
      <c r="P79">
        <f>N79-'Example 7.3 - Pipe P1'!$C$9</f>
        <v>71.35146145514841</v>
      </c>
      <c r="Q79">
        <f>Q78</f>
        <v>659.67000000000007</v>
      </c>
      <c r="R79">
        <f>R78</f>
        <v>366.48333333333335</v>
      </c>
      <c r="S79">
        <f>Q79-'Example 7.3 - Pipe P1'!$C$8</f>
        <v>200.00000000000006</v>
      </c>
      <c r="T79">
        <f>R79-'Example 7.3 - Pipe P1'!$C$9</f>
        <v>93.333333333333371</v>
      </c>
      <c r="U79">
        <f>I79/M79/Rg/Z*144</f>
        <v>0.24493881502227169</v>
      </c>
      <c r="V79">
        <f>U79*16.01846</f>
        <v>3.9235426108816585</v>
      </c>
      <c r="W79">
        <f>(Gam*I79/U79*gc*144)^0.5</f>
        <v>1220.7528748066666</v>
      </c>
      <c r="X79">
        <f>W79/3.28</f>
        <v>372.18075451422766</v>
      </c>
      <c r="Y79">
        <f>G79*W79</f>
        <v>689.52427399727856</v>
      </c>
      <c r="Z79">
        <f>Y79/3.28</f>
        <v>210.22081524307274</v>
      </c>
      <c r="AB79">
        <f>E79/$E$122</f>
        <v>0.90991919487875961</v>
      </c>
      <c r="AC79">
        <f>G79</f>
        <v>0.56483526537382112</v>
      </c>
      <c r="AD79">
        <f>I79/$I$3</f>
        <v>0.1428460518137476</v>
      </c>
      <c r="AE79">
        <f>K79/$K$3</f>
        <v>0.17469424905041644</v>
      </c>
      <c r="AF79">
        <f>M79/$M$3</f>
        <v>0.94411654721453397</v>
      </c>
      <c r="AG79">
        <f>U79/$U$3</f>
        <v>0.15130129032818268</v>
      </c>
      <c r="AH79">
        <f>Y79/$Y$3</f>
        <v>3.7177475405523595</v>
      </c>
    </row>
    <row r="80" spans="1:34" x14ac:dyDescent="0.25">
      <c r="A80" s="38"/>
      <c r="B80" s="42" t="s">
        <v>128</v>
      </c>
      <c r="C80">
        <v>8.7266462599716474E-2</v>
      </c>
      <c r="D80">
        <v>20.833333333333332</v>
      </c>
      <c r="E80">
        <f>(1/Gam*(1/M_4^2-1/G80^2)+(Gam+1)/2/Gam*LN((M_4^2/G80^2)*(1+G80^2*(Gam-1)/2)/(1+M_4^2*(Gam-1)/2)))*D80+125</f>
        <v>137.5124367618491</v>
      </c>
      <c r="F80">
        <f>E80/3.28</f>
        <v>41.92452340300278</v>
      </c>
      <c r="G80">
        <f>G79+0.01</f>
        <v>0.57483526537382112</v>
      </c>
      <c r="H80">
        <f>(Gam/Z/Rg)^0.5*G80*(1+G80^2*(Gam-1)/2)^(-(Gam+1)/2/(Gam-1))</f>
        <v>7.6851069242959952E-2</v>
      </c>
      <c r="I80">
        <f>K80/(1+(Gam-1)/2*G80^2)^(Gam/(Gam-1))</f>
        <v>55.237138400603719</v>
      </c>
      <c r="J80" s="21">
        <f>I80*6.89476</f>
        <v>380.84681235894647</v>
      </c>
      <c r="K80">
        <f>mdot*Q80^0.5/C80/H80/gc^0.5/144</f>
        <v>69.10438463606009</v>
      </c>
      <c r="L80" s="21">
        <f>K80*6.89476</f>
        <v>476.45814701332165</v>
      </c>
      <c r="M80">
        <f>Q80/(1+(Gam-1)/2*G80^2)</f>
        <v>618.77682396943112</v>
      </c>
      <c r="N80">
        <f>M80/1.8</f>
        <v>343.76490220523948</v>
      </c>
      <c r="O80">
        <f>M80-'Example 7.3 - Pipe P1'!$C$8</f>
        <v>159.1068239694311</v>
      </c>
      <c r="P80">
        <f>N80-'Example 7.3 - Pipe P1'!$C$9</f>
        <v>70.614902205239503</v>
      </c>
      <c r="Q80">
        <f>Q79</f>
        <v>659.67000000000007</v>
      </c>
      <c r="R80">
        <f>R79</f>
        <v>366.48333333333335</v>
      </c>
      <c r="S80">
        <f>Q80-'Example 7.3 - Pipe P1'!$C$8</f>
        <v>200.00000000000006</v>
      </c>
      <c r="T80">
        <f>R80-'Example 7.3 - Pipe P1'!$C$9</f>
        <v>93.333333333333371</v>
      </c>
      <c r="U80">
        <f>I80/M80/Rg/Z*144</f>
        <v>0.24093549192977126</v>
      </c>
      <c r="V80">
        <f>U80*16.01846</f>
        <v>3.859415540057364</v>
      </c>
      <c r="W80">
        <f>(Gam*I80/U80*gc*144)^0.5</f>
        <v>1219.4471648952317</v>
      </c>
      <c r="X80">
        <f>W80/3.28</f>
        <v>371.78267222415604</v>
      </c>
      <c r="Y80">
        <f>G80*W80</f>
        <v>700.98123464190428</v>
      </c>
      <c r="Z80">
        <f>Y80/3.28</f>
        <v>213.71379104936108</v>
      </c>
      <c r="AB80">
        <f>E80/$E$122</f>
        <v>0.91672013319093404</v>
      </c>
      <c r="AC80">
        <f>G80</f>
        <v>0.57483526537382112</v>
      </c>
      <c r="AD80">
        <f>I80/$I$3</f>
        <v>0.14021093137034304</v>
      </c>
      <c r="AE80">
        <f>K80/$K$3</f>
        <v>0.17276096159015022</v>
      </c>
      <c r="AF80">
        <f>M80/$M$3</f>
        <v>0.94209798458520411</v>
      </c>
      <c r="AG80">
        <f>U80/$U$3</f>
        <v>0.14882839541587223</v>
      </c>
      <c r="AH80">
        <f>Y80/$Y$3</f>
        <v>3.7795206917887012</v>
      </c>
    </row>
    <row r="81" spans="1:34" x14ac:dyDescent="0.25">
      <c r="A81" s="38"/>
      <c r="B81" s="42" t="s">
        <v>128</v>
      </c>
      <c r="C81">
        <v>8.7266462599716474E-2</v>
      </c>
      <c r="D81">
        <v>20.833333333333332</v>
      </c>
      <c r="E81">
        <f>(1/Gam*(1/M_4^2-1/G81^2)+(Gam+1)/2/Gam*LN((M_4^2/G81^2)*(1+G81^2*(Gam-1)/2)/(1+M_4^2*(Gam-1)/2)))*D81+125</f>
        <v>138.46219312459922</v>
      </c>
      <c r="F81">
        <f>E81/3.28</f>
        <v>42.214083269694889</v>
      </c>
      <c r="G81">
        <f>G80+0.01</f>
        <v>0.58483526537382113</v>
      </c>
      <c r="H81">
        <f>(Gam/Z/Rg)^0.5*G81*(1+G81^2*(Gam-1)/2)^(-(Gam+1)/2/(Gam-1))</f>
        <v>7.767989598068463E-2</v>
      </c>
      <c r="I81">
        <f>K81/(1+(Gam-1)/2*G81^2)^(Gam/(Gam-1))</f>
        <v>54.233685463200764</v>
      </c>
      <c r="J81" s="21">
        <f>I81*6.89476</f>
        <v>373.92824518425812</v>
      </c>
      <c r="K81">
        <f>mdot*Q81^0.5/C81/H81/gc^0.5/144</f>
        <v>68.367056644598591</v>
      </c>
      <c r="L81" s="21">
        <f>K81*6.89476</f>
        <v>471.37444747091257</v>
      </c>
      <c r="M81">
        <f>Q81/(1+(Gam-1)/2*G81^2)</f>
        <v>617.43355756962046</v>
      </c>
      <c r="N81">
        <f>M81/1.8</f>
        <v>343.0186430942336</v>
      </c>
      <c r="O81">
        <f>M81-'Example 7.3 - Pipe P1'!$C$8</f>
        <v>157.76355756962045</v>
      </c>
      <c r="P81">
        <f>N81-'Example 7.3 - Pipe P1'!$C$9</f>
        <v>69.868643094233619</v>
      </c>
      <c r="Q81">
        <f>Q80</f>
        <v>659.67000000000007</v>
      </c>
      <c r="R81">
        <f>R80</f>
        <v>366.48333333333335</v>
      </c>
      <c r="S81">
        <f>Q81-'Example 7.3 - Pipe P1'!$C$8</f>
        <v>200.00000000000006</v>
      </c>
      <c r="T81">
        <f>R81-'Example 7.3 - Pipe P1'!$C$9</f>
        <v>93.333333333333371</v>
      </c>
      <c r="U81">
        <f>I81/M81/Rg/Z*144</f>
        <v>0.23707324042698377</v>
      </c>
      <c r="V81">
        <f>U81*16.01846</f>
        <v>3.7975482188500229</v>
      </c>
      <c r="W81">
        <f>(Gam*I81/U81*gc*144)^0.5</f>
        <v>1218.1228325282996</v>
      </c>
      <c r="X81">
        <f>W81/3.28</f>
        <v>371.37891235618889</v>
      </c>
      <c r="Y81">
        <f>G81*W81</f>
        <v>712.40119001959874</v>
      </c>
      <c r="Z81">
        <f>Y81/3.28</f>
        <v>217.19548476207279</v>
      </c>
      <c r="AB81">
        <f>E81/$E$122</f>
        <v>0.92305163890679209</v>
      </c>
      <c r="AC81">
        <f>G81</f>
        <v>0.58483526537382113</v>
      </c>
      <c r="AD81">
        <f>I81/$I$3</f>
        <v>0.13766382130973143</v>
      </c>
      <c r="AE81">
        <f>K81/$K$3</f>
        <v>0.17091764161149647</v>
      </c>
      <c r="AF81">
        <f>M81/$M$3</f>
        <v>0.9400528391967512</v>
      </c>
      <c r="AG81">
        <f>U81/$U$3</f>
        <v>0.14644264191293896</v>
      </c>
      <c r="AH81">
        <f>Y81/$Y$3</f>
        <v>3.8410943196067828</v>
      </c>
    </row>
    <row r="82" spans="1:34" x14ac:dyDescent="0.25">
      <c r="A82" s="38"/>
      <c r="B82" s="42" t="s">
        <v>128</v>
      </c>
      <c r="C82">
        <v>8.7266462599716474E-2</v>
      </c>
      <c r="D82">
        <v>20.833333333333332</v>
      </c>
      <c r="E82">
        <f>(1/Gam*(1/M_4^2-1/G82^2)+(Gam+1)/2/Gam*LN((M_4^2/G82^2)*(1+G82^2*(Gam-1)/2)/(1+M_4^2*(Gam-1)/2)))*D82+125</f>
        <v>139.34661688236912</v>
      </c>
      <c r="F82">
        <f>E82/3.28</f>
        <v>42.483724659258883</v>
      </c>
      <c r="G82">
        <f>G81+0.01</f>
        <v>0.59483526537382114</v>
      </c>
      <c r="H82">
        <f>(Gam/Z/Rg)^0.5*G82*(1+G82^2*(Gam-1)/2)^(-(Gam+1)/2/(Gam-1))</f>
        <v>7.8487018369001973E-2</v>
      </c>
      <c r="I82">
        <f>K82/(1+(Gam-1)/2*G82^2)^(Gam/(Gam-1))</f>
        <v>53.263164950871946</v>
      </c>
      <c r="J82" s="21">
        <f>I82*6.89476</f>
        <v>367.23673917667384</v>
      </c>
      <c r="K82">
        <f>mdot*Q82^0.5/C82/H82/gc^0.5/144</f>
        <v>67.664003029008455</v>
      </c>
      <c r="L82" s="21">
        <f>K82*6.89476</f>
        <v>466.5270615242863</v>
      </c>
      <c r="M82">
        <f>Q82/(1+(Gam-1)/2*G82^2)</f>
        <v>616.07309541529855</v>
      </c>
      <c r="N82">
        <f>M82/1.8</f>
        <v>342.26283078627699</v>
      </c>
      <c r="O82">
        <f>M82-'Example 7.3 - Pipe P1'!$C$8</f>
        <v>156.40309541529854</v>
      </c>
      <c r="P82">
        <f>N82-'Example 7.3 - Pipe P1'!$C$9</f>
        <v>69.112830786277016</v>
      </c>
      <c r="Q82">
        <f>Q81</f>
        <v>659.67000000000007</v>
      </c>
      <c r="R82">
        <f>R81</f>
        <v>366.48333333333335</v>
      </c>
      <c r="S82">
        <f>Q82-'Example 7.3 - Pipe P1'!$C$8</f>
        <v>200.00000000000006</v>
      </c>
      <c r="T82">
        <f>R82-'Example 7.3 - Pipe P1'!$C$9</f>
        <v>93.333333333333371</v>
      </c>
      <c r="U82">
        <f>I82/M82/Rg/Z*144</f>
        <v>0.23334493235660231</v>
      </c>
      <c r="V82">
        <f>U82*16.01846</f>
        <v>3.7378264651569402</v>
      </c>
      <c r="W82">
        <f>(Gam*I82/U82*gc*144)^0.5</f>
        <v>1216.7800776035256</v>
      </c>
      <c r="X82">
        <f>W82/3.28</f>
        <v>370.96953585473341</v>
      </c>
      <c r="Y82">
        <f>G82*W82</f>
        <v>723.78370036287185</v>
      </c>
      <c r="Z82">
        <f>Y82/3.28</f>
        <v>220.66576230575362</v>
      </c>
      <c r="AB82">
        <f>E82/$E$122</f>
        <v>0.92894760791230235</v>
      </c>
      <c r="AC82">
        <f>G82</f>
        <v>0.59483526537382114</v>
      </c>
      <c r="AD82">
        <f>I82/$I$3</f>
        <v>0.13520030511595699</v>
      </c>
      <c r="AE82">
        <f>K82/$K$3</f>
        <v>0.16916000757252114</v>
      </c>
      <c r="AF82">
        <f>M82/$M$3</f>
        <v>0.93798151298664989</v>
      </c>
      <c r="AG82">
        <f>U82/$U$3</f>
        <v>0.14413962668140695</v>
      </c>
      <c r="AH82">
        <f>Y82/$Y$3</f>
        <v>3.9024660528870276</v>
      </c>
    </row>
    <row r="83" spans="1:34" x14ac:dyDescent="0.25">
      <c r="A83" s="38"/>
      <c r="B83" s="42" t="s">
        <v>128</v>
      </c>
      <c r="C83">
        <v>8.7266462599716474E-2</v>
      </c>
      <c r="D83">
        <v>20.833333333333332</v>
      </c>
      <c r="E83">
        <f>(1/Gam*(1/M_4^2-1/G83^2)+(Gam+1)/2/Gam*LN((M_4^2/G83^2)*(1+G83^2*(Gam-1)/2)/(1+M_4^2*(Gam-1)/2)))*D83+125</f>
        <v>140.17036367921401</v>
      </c>
      <c r="F83">
        <f>E83/3.28</f>
        <v>42.734866975370124</v>
      </c>
      <c r="G83">
        <f>G82+0.01</f>
        <v>0.60483526537382115</v>
      </c>
      <c r="H83">
        <f>(Gam/Z/Rg)^0.5*G83*(1+G83^2*(Gam-1)/2)^(-(Gam+1)/2/(Gam-1))</f>
        <v>7.9272404313502007E-2</v>
      </c>
      <c r="I83">
        <f>K83/(1+(Gam-1)/2*G83^2)^(Gam/(Gam-1))</f>
        <v>52.323952079057541</v>
      </c>
      <c r="J83" s="21">
        <f>I83*6.89476</f>
        <v>360.76109183660276</v>
      </c>
      <c r="K83">
        <f>mdot*Q83^0.5/C83/H83/gc^0.5/144</f>
        <v>66.993626529294545</v>
      </c>
      <c r="L83" s="21">
        <f>K83*6.89476</f>
        <v>461.90497644911886</v>
      </c>
      <c r="M83">
        <f>Q83/(1+(Gam-1)/2*G83^2)</f>
        <v>614.69570304566071</v>
      </c>
      <c r="N83">
        <f>M83/1.8</f>
        <v>341.49761280314482</v>
      </c>
      <c r="O83">
        <f>M83-'Example 7.3 - Pipe P1'!$C$8</f>
        <v>155.02570304566069</v>
      </c>
      <c r="P83">
        <f>N83-'Example 7.3 - Pipe P1'!$C$9</f>
        <v>68.347612803144841</v>
      </c>
      <c r="Q83">
        <f>Q82</f>
        <v>659.67000000000007</v>
      </c>
      <c r="R83">
        <f>R82</f>
        <v>366.48333333333335</v>
      </c>
      <c r="S83">
        <f>Q83-'Example 7.3 - Pipe P1'!$C$8</f>
        <v>200.00000000000006</v>
      </c>
      <c r="T83">
        <f>R83-'Example 7.3 - Pipe P1'!$C$9</f>
        <v>93.333333333333371</v>
      </c>
      <c r="U83">
        <f>I83/M83/Rg/Z*144</f>
        <v>0.22974391081946338</v>
      </c>
      <c r="V83">
        <f>U83*16.01846</f>
        <v>3.6801436457051415</v>
      </c>
      <c r="W83">
        <f>(Gam*I83/U83*gc*144)^0.5</f>
        <v>1215.4191015843076</v>
      </c>
      <c r="X83">
        <f>W83/3.28</f>
        <v>370.55460414155721</v>
      </c>
      <c r="Y83">
        <f>G83*W83</f>
        <v>735.128334847156</v>
      </c>
      <c r="Z83">
        <f>Y83/3.28</f>
        <v>224.12449233145</v>
      </c>
      <c r="AB83">
        <f>E83/$E$122</f>
        <v>0.93443907683759708</v>
      </c>
      <c r="AC83">
        <f>G83</f>
        <v>0.60483526537382115</v>
      </c>
      <c r="AD83">
        <f>I83/$I$3</f>
        <v>0.13281625852474777</v>
      </c>
      <c r="AE83">
        <f>K83/$K$3</f>
        <v>0.16748406632323637</v>
      </c>
      <c r="AF83">
        <f>M83/$M$3</f>
        <v>0.93588441024273239</v>
      </c>
      <c r="AG83">
        <f>U83/$U$3</f>
        <v>0.14191523768442763</v>
      </c>
      <c r="AH83">
        <f>Y83/$Y$3</f>
        <v>3.9636335687279263</v>
      </c>
    </row>
    <row r="84" spans="1:34" x14ac:dyDescent="0.25">
      <c r="A84" s="38"/>
      <c r="B84" s="42" t="s">
        <v>128</v>
      </c>
      <c r="C84">
        <v>8.7266462599716474E-2</v>
      </c>
      <c r="D84">
        <v>20.833333333333332</v>
      </c>
      <c r="E84">
        <f>(1/Gam*(1/M_4^2-1/G84^2)+(Gam+1)/2/Gam*LN((M_4^2/G84^2)*(1+G84^2*(Gam-1)/2)/(1+M_4^2*(Gam-1)/2)))*D84+125</f>
        <v>140.93770233734867</v>
      </c>
      <c r="F84">
        <f>E84/3.28</f>
        <v>42.968811688216057</v>
      </c>
      <c r="G84">
        <f>G83+0.01</f>
        <v>0.61483526537382116</v>
      </c>
      <c r="H84">
        <f>(Gam/Z/Rg)^0.5*G84*(1+G84^2*(Gam-1)/2)^(-(Gam+1)/2/(Gam-1))</f>
        <v>8.0036033435999354E-2</v>
      </c>
      <c r="I84">
        <f>K84/(1+(Gam-1)/2*G84^2)^(Gam/(Gam-1))</f>
        <v>51.414527831671201</v>
      </c>
      <c r="J84" s="21">
        <f>I84*6.89476</f>
        <v>354.4908299126933</v>
      </c>
      <c r="K84">
        <f>mdot*Q84^0.5/C84/H84/gc^0.5/144</f>
        <v>66.354435879243312</v>
      </c>
      <c r="L84" s="21">
        <f>K84*6.89476</f>
        <v>457.49791032277159</v>
      </c>
      <c r="M84">
        <f>Q84/(1+(Gam-1)/2*G84^2)</f>
        <v>613.30164742795375</v>
      </c>
      <c r="N84">
        <f>M84/1.8</f>
        <v>340.72313745997428</v>
      </c>
      <c r="O84">
        <f>M84-'Example 7.3 - Pipe P1'!$C$8</f>
        <v>153.63164742795374</v>
      </c>
      <c r="P84">
        <f>N84-'Example 7.3 - Pipe P1'!$C$9</f>
        <v>67.573137459974305</v>
      </c>
      <c r="Q84">
        <f>Q83</f>
        <v>659.67000000000007</v>
      </c>
      <c r="R84">
        <f>R83</f>
        <v>366.48333333333335</v>
      </c>
      <c r="S84">
        <f>Q84-'Example 7.3 - Pipe P1'!$C$8</f>
        <v>200.00000000000006</v>
      </c>
      <c r="T84">
        <f>R84-'Example 7.3 - Pipe P1'!$C$9</f>
        <v>93.333333333333371</v>
      </c>
      <c r="U84">
        <f>I84/M84/Rg/Z*144</f>
        <v>0.22626395185371539</v>
      </c>
      <c r="V84">
        <f>U84*16.01846</f>
        <v>3.624400062210666</v>
      </c>
      <c r="W84">
        <f>(Gam*I84/U84*gc*144)^0.5</f>
        <v>1214.040107424353</v>
      </c>
      <c r="X84">
        <f>W84/3.28</f>
        <v>370.13417909279059</v>
      </c>
      <c r="Y84">
        <f>G84*W84</f>
        <v>746.4346716227144</v>
      </c>
      <c r="Z84">
        <f>Y84/3.28</f>
        <v>227.57154622643733</v>
      </c>
      <c r="AB84">
        <f>E84/$E$122</f>
        <v>0.93955450358336845</v>
      </c>
      <c r="AC84">
        <f>G84</f>
        <v>0.61483526537382116</v>
      </c>
      <c r="AD84">
        <f>I84/$I$3</f>
        <v>0.13050782574874034</v>
      </c>
      <c r="AE84">
        <f>K84/$K$3</f>
        <v>0.16588608969810828</v>
      </c>
      <c r="AF84">
        <f>M84/$M$3</f>
        <v>0.93376193742706293</v>
      </c>
      <c r="AG84">
        <f>U84/$U$3</f>
        <v>0.13976563031509776</v>
      </c>
      <c r="AH84">
        <f>Y84/$Y$3</f>
        <v>4.0245945926180804</v>
      </c>
    </row>
    <row r="85" spans="1:34" x14ac:dyDescent="0.25">
      <c r="A85" s="38"/>
      <c r="B85" s="42" t="s">
        <v>128</v>
      </c>
      <c r="C85">
        <v>8.7266462599716474E-2</v>
      </c>
      <c r="D85">
        <v>20.833333333333332</v>
      </c>
      <c r="E85">
        <f>(1/Gam*(1/M_4^2-1/G85^2)+(Gam+1)/2/Gam*LN((M_4^2/G85^2)*(1+G85^2*(Gam-1)/2)/(1+M_4^2*(Gam-1)/2)))*D85+125</f>
        <v>141.6525522250017</v>
      </c>
      <c r="F85">
        <f>E85/3.28</f>
        <v>43.186753727134665</v>
      </c>
      <c r="G85">
        <f>G84+0.01</f>
        <v>0.62483526537382117</v>
      </c>
      <c r="H85">
        <f>(Gam/Z/Rg)^0.5*G85*(1+G85^2*(Gam-1)/2)^(-(Gam+1)/2/(Gam-1))</f>
        <v>8.0777896907507432E-2</v>
      </c>
      <c r="I85">
        <f>K85/(1+(Gam-1)/2*G85^2)^(Gam/(Gam-1))</f>
        <v>50.53347049425701</v>
      </c>
      <c r="J85" s="21">
        <f>I85*6.89476</f>
        <v>348.41615102498344</v>
      </c>
      <c r="K85">
        <f>mdot*Q85^0.5/C85/H85/gc^0.5/144</f>
        <v>65.745037342813205</v>
      </c>
      <c r="L85" s="21">
        <f>K85*6.89476</f>
        <v>453.29625366973477</v>
      </c>
      <c r="M85">
        <f>Q85/(1+(Gam-1)/2*G85^2)</f>
        <v>611.8911968425316</v>
      </c>
      <c r="N85">
        <f>M85/1.8</f>
        <v>339.93955380140642</v>
      </c>
      <c r="O85">
        <f>M85-'Example 7.3 - Pipe P1'!$C$8</f>
        <v>152.22119684253158</v>
      </c>
      <c r="P85">
        <f>N85-'Example 7.3 - Pipe P1'!$C$9</f>
        <v>66.789553801406441</v>
      </c>
      <c r="Q85">
        <f>Q84</f>
        <v>659.67000000000007</v>
      </c>
      <c r="R85">
        <f>R84</f>
        <v>366.48333333333335</v>
      </c>
      <c r="S85">
        <f>Q85-'Example 7.3 - Pipe P1'!$C$8</f>
        <v>200.00000000000006</v>
      </c>
      <c r="T85">
        <f>R85-'Example 7.3 - Pipe P1'!$C$9</f>
        <v>93.333333333333371</v>
      </c>
      <c r="U85">
        <f>I85/M85/Rg/Z*144</f>
        <v>0.22289922979376742</v>
      </c>
      <c r="V85">
        <f>U85*16.01846</f>
        <v>3.5705023964822717</v>
      </c>
      <c r="W85">
        <f>(Gam*I85/U85*gc*144)^0.5</f>
        <v>1212.6432994924673</v>
      </c>
      <c r="X85">
        <f>W85/3.28</f>
        <v>369.70832301599614</v>
      </c>
      <c r="Y85">
        <f>G85*W85</f>
        <v>757.7022978421619</v>
      </c>
      <c r="Z85">
        <f>Y85/3.28</f>
        <v>231.00679812261035</v>
      </c>
      <c r="AB85">
        <f>E85/$E$122</f>
        <v>0.94432001643189523</v>
      </c>
      <c r="AC85">
        <f>G85</f>
        <v>0.62483526537382117</v>
      </c>
      <c r="AD85">
        <f>I85/$I$3</f>
        <v>0.12827139798570891</v>
      </c>
      <c r="AE85">
        <f>K85/$K$3</f>
        <v>0.16436259335703302</v>
      </c>
      <c r="AF85">
        <f>M85/$M$3</f>
        <v>0.93161450300093307</v>
      </c>
      <c r="AG85">
        <f>U85/$U$3</f>
        <v>0.13768720599831669</v>
      </c>
      <c r="AH85">
        <f>Y85/$Y$3</f>
        <v>4.085346898584584</v>
      </c>
    </row>
    <row r="86" spans="1:34" x14ac:dyDescent="0.25">
      <c r="A86" s="38"/>
      <c r="B86" s="42" t="s">
        <v>128</v>
      </c>
      <c r="C86">
        <v>8.7266462599716474E-2</v>
      </c>
      <c r="D86">
        <v>20.833333333333332</v>
      </c>
      <c r="E86">
        <f>(1/Gam*(1/M_4^2-1/G86^2)+(Gam+1)/2/Gam*LN((M_4^2/G86^2)*(1+G86^2*(Gam-1)/2)/(1+M_4^2*(Gam-1)/2)))*D86+125</f>
        <v>142.31851650379008</v>
      </c>
      <c r="F86">
        <f>E86/3.28</f>
        <v>43.389791617009173</v>
      </c>
      <c r="G86">
        <f>G85+0.01</f>
        <v>0.63483526537382118</v>
      </c>
      <c r="H86">
        <f>(Gam/Z/Rg)^0.5*G86*(1+G86^2*(Gam-1)/2)^(-(Gam+1)/2/(Gam-1))</f>
        <v>8.1497997272681838E-2</v>
      </c>
      <c r="I86">
        <f>K86/(1+(Gam-1)/2*G86^2)^(Gam/(Gam-1))</f>
        <v>49.679447987382282</v>
      </c>
      <c r="J86" s="21">
        <f>I86*6.89476</f>
        <v>342.52787080548387</v>
      </c>
      <c r="K86">
        <f>mdot*Q86^0.5/C86/H86/gc^0.5/144</f>
        <v>65.164127050741115</v>
      </c>
      <c r="L86" s="21">
        <f>K86*6.89476</f>
        <v>449.29101662436778</v>
      </c>
      <c r="M86">
        <f>Q86/(1+(Gam-1)/2*G86^2)</f>
        <v>610.46462076872842</v>
      </c>
      <c r="N86">
        <f>M86/1.8</f>
        <v>339.14701153818243</v>
      </c>
      <c r="O86">
        <f>M86-'Example 7.3 - Pipe P1'!$C$8</f>
        <v>150.79462076872841</v>
      </c>
      <c r="P86">
        <f>N86-'Example 7.3 - Pipe P1'!$C$9</f>
        <v>65.997011538182448</v>
      </c>
      <c r="Q86">
        <f>Q85</f>
        <v>659.67000000000007</v>
      </c>
      <c r="R86">
        <f>R85</f>
        <v>366.48333333333335</v>
      </c>
      <c r="S86">
        <f>Q86-'Example 7.3 - Pipe P1'!$C$8</f>
        <v>200.00000000000006</v>
      </c>
      <c r="T86">
        <f>R86-'Example 7.3 - Pipe P1'!$C$9</f>
        <v>93.333333333333371</v>
      </c>
      <c r="U86">
        <f>I86/M86/Rg/Z*144</f>
        <v>0.21964428590326696</v>
      </c>
      <c r="V86">
        <f>U86*16.01846</f>
        <v>3.518363207970046</v>
      </c>
      <c r="W86">
        <f>(Gam*I86/U86*gc*144)^0.5</f>
        <v>1211.228883497618</v>
      </c>
      <c r="X86">
        <f>W86/3.28</f>
        <v>369.27709862732257</v>
      </c>
      <c r="Y86">
        <f>G86*W86</f>
        <v>768.93080968364745</v>
      </c>
      <c r="Z86">
        <f>Y86/3.28</f>
        <v>234.43012490355108</v>
      </c>
      <c r="AB86">
        <f>E86/$E$122</f>
        <v>0.94875963568908706</v>
      </c>
      <c r="AC86">
        <f>G86</f>
        <v>0.63483526537382118</v>
      </c>
      <c r="AD86">
        <f>I86/$I$3</f>
        <v>0.12610359395806886</v>
      </c>
      <c r="AE86">
        <f>K86/$K$3</f>
        <v>0.16291031762685279</v>
      </c>
      <c r="AF86">
        <f>M86/$M$3</f>
        <v>0.92944251725110183</v>
      </c>
      <c r="AG86">
        <f>U86/$U$3</f>
        <v>0.13567659281504571</v>
      </c>
      <c r="AH86">
        <f>Y86/$Y$3</f>
        <v>4.1458883093180239</v>
      </c>
    </row>
    <row r="87" spans="1:34" x14ac:dyDescent="0.25">
      <c r="A87" s="38"/>
      <c r="B87" s="42" t="s">
        <v>128</v>
      </c>
      <c r="C87">
        <v>8.7266462599716474E-2</v>
      </c>
      <c r="D87">
        <v>20.833333333333332</v>
      </c>
      <c r="E87">
        <f>(1/Gam*(1/M_4^2-1/G87^2)+(Gam+1)/2/Gam*LN((M_4^2/G87^2)*(1+G87^2*(Gam-1)/2)/(1+M_4^2*(Gam-1)/2)))*D87+125</f>
        <v>142.93891176535402</v>
      </c>
      <c r="F87">
        <f>E87/3.28</f>
        <v>43.57893651382745</v>
      </c>
      <c r="G87">
        <f>G86+0.01</f>
        <v>0.64483526537382119</v>
      </c>
      <c r="H87">
        <f>(Gam/Z/Rg)^0.5*G87*(1+G87^2*(Gam-1)/2)^(-(Gam+1)/2/(Gam-1))</f>
        <v>8.2196348266130814E-2</v>
      </c>
      <c r="I87">
        <f>K87/(1+(Gam-1)/2*G87^2)^(Gam/(Gam-1))</f>
        <v>48.851210913397672</v>
      </c>
      <c r="J87" s="21">
        <f>I87*6.89476</f>
        <v>336.8173749572577</v>
      </c>
      <c r="K87">
        <f>mdot*Q87^0.5/C87/H87/gc^0.5/144</f>
        <v>64.610484050497618</v>
      </c>
      <c r="L87" s="21">
        <f>K87*6.89476</f>
        <v>445.47378101200894</v>
      </c>
      <c r="M87">
        <f>Q87/(1+(Gam-1)/2*G87^2)</f>
        <v>609.02218977161874</v>
      </c>
      <c r="N87">
        <f>M87/1.8</f>
        <v>338.34566098423261</v>
      </c>
      <c r="O87">
        <f>M87-'Example 7.3 - Pipe P1'!$C$8</f>
        <v>149.35218977161873</v>
      </c>
      <c r="P87">
        <f>N87-'Example 7.3 - Pipe P1'!$C$9</f>
        <v>65.195660984232632</v>
      </c>
      <c r="Q87">
        <f>Q86</f>
        <v>659.67000000000007</v>
      </c>
      <c r="R87">
        <f>R86</f>
        <v>366.48333333333335</v>
      </c>
      <c r="S87">
        <f>Q87-'Example 7.3 - Pipe P1'!$C$8</f>
        <v>200.00000000000006</v>
      </c>
      <c r="T87">
        <f>R87-'Example 7.3 - Pipe P1'!$C$9</f>
        <v>93.333333333333371</v>
      </c>
      <c r="U87">
        <f>I87/M87/Rg/Z*144</f>
        <v>0.21649399992669133</v>
      </c>
      <c r="V87">
        <f>U87*16.01846</f>
        <v>3.4679004780657081</v>
      </c>
      <c r="W87">
        <f>(Gam*I87/U87*gc*144)^0.5</f>
        <v>1209.797066414312</v>
      </c>
      <c r="X87">
        <f>W87/3.28</f>
        <v>368.84056902875369</v>
      </c>
      <c r="Y87">
        <f>G87*W87</f>
        <v>780.11981236974327</v>
      </c>
      <c r="Z87">
        <f>Y87/3.28</f>
        <v>237.8414062102876</v>
      </c>
      <c r="AB87">
        <f>E87/$E$122</f>
        <v>0.95289547125570473</v>
      </c>
      <c r="AC87">
        <f>G87</f>
        <v>0.64483526537382119</v>
      </c>
      <c r="AD87">
        <f>I87/$I$3</f>
        <v>0.12400124226315265</v>
      </c>
      <c r="AE87">
        <f>K87/$K$3</f>
        <v>0.16152621012624405</v>
      </c>
      <c r="AF87">
        <f>M87/$M$3</f>
        <v>0.9272463921173858</v>
      </c>
      <c r="AG87">
        <f>U87/$U$3</f>
        <v>0.13373062792942586</v>
      </c>
      <c r="AH87">
        <f>Y87/$Y$3</f>
        <v>4.2062166962743186</v>
      </c>
    </row>
    <row r="88" spans="1:34" x14ac:dyDescent="0.25">
      <c r="A88" s="38"/>
      <c r="B88" s="42" t="s">
        <v>128</v>
      </c>
      <c r="C88">
        <v>8.7266462599716474E-2</v>
      </c>
      <c r="D88">
        <v>20.833333333333332</v>
      </c>
      <c r="E88">
        <f>(1/Gam*(1/M_4^2-1/G88^2)+(Gam+1)/2/Gam*LN((M_4^2/G88^2)*(1+G88^2*(Gam-1)/2)/(1+M_4^2*(Gam-1)/2)))*D88+125</f>
        <v>143.51679449724301</v>
      </c>
      <c r="F88">
        <f>E88/3.28</f>
        <v>43.7551202735497</v>
      </c>
      <c r="G88">
        <f>G87+0.01</f>
        <v>0.6548352653738212</v>
      </c>
      <c r="H88">
        <f>(Gam/Z/Rg)^0.5*G88*(1+G88^2*(Gam-1)/2)^(-(Gam+1)/2/(Gam-1))</f>
        <v>8.287297462099695E-2</v>
      </c>
      <c r="I88">
        <f>K88/(1+(Gam-1)/2*G88^2)^(Gam/(Gam-1))</f>
        <v>48.047586240310174</v>
      </c>
      <c r="J88" s="21">
        <f>I88*6.89476</f>
        <v>331.27657570624098</v>
      </c>
      <c r="K88">
        <f>mdot*Q88^0.5/C88/H88/gc^0.5/144</f>
        <v>64.082963993335966</v>
      </c>
      <c r="L88" s="21">
        <f>K88*6.89476</f>
        <v>441.83665682269304</v>
      </c>
      <c r="M88">
        <f>Q88/(1+(Gam-1)/2*G88^2)</f>
        <v>607.56417538974472</v>
      </c>
      <c r="N88">
        <f>M88/1.8</f>
        <v>337.53565299430261</v>
      </c>
      <c r="O88">
        <f>M88-'Example 7.3 - Pipe P1'!$C$8</f>
        <v>147.8941753897447</v>
      </c>
      <c r="P88">
        <f>N88-'Example 7.3 - Pipe P1'!$C$9</f>
        <v>64.385652994302632</v>
      </c>
      <c r="Q88">
        <f>Q87</f>
        <v>659.67000000000007</v>
      </c>
      <c r="R88">
        <f>R87</f>
        <v>366.48333333333335</v>
      </c>
      <c r="S88">
        <f>Q88-'Example 7.3 - Pipe P1'!$C$8</f>
        <v>200.00000000000006</v>
      </c>
      <c r="T88">
        <f>R88-'Example 7.3 - Pipe P1'!$C$9</f>
        <v>93.333333333333371</v>
      </c>
      <c r="U88">
        <f>I88/M88/Rg/Z*144</f>
        <v>0.21344356424756156</v>
      </c>
      <c r="V88">
        <f>U88*16.01846</f>
        <v>3.419037196156995</v>
      </c>
      <c r="W88">
        <f>(Gam*I88/U88*gc*144)^0.5</f>
        <v>1208.3480564083382</v>
      </c>
      <c r="X88">
        <f>W88/3.28</f>
        <v>368.39879768546899</v>
      </c>
      <c r="Y88">
        <f>G88*W88</f>
        <v>791.26892018209514</v>
      </c>
      <c r="Z88">
        <f>Y88/3.28</f>
        <v>241.24052444576074</v>
      </c>
      <c r="AB88">
        <f>E88/$E$122</f>
        <v>0.95674789906093283</v>
      </c>
      <c r="AC88">
        <f>G88</f>
        <v>0.6548352653738212</v>
      </c>
      <c r="AD88">
        <f>I88/$I$3</f>
        <v>0.12196136534069872</v>
      </c>
      <c r="AE88">
        <f>K88/$K$3</f>
        <v>0.1602074099833399</v>
      </c>
      <c r="AF88">
        <f>M88/$M$3</f>
        <v>0.92502654102172222</v>
      </c>
      <c r="AG88">
        <f>U88/$U$3</f>
        <v>0.13184634162603417</v>
      </c>
      <c r="AH88">
        <f>Y88/$Y$3</f>
        <v>4.2663299797537171</v>
      </c>
    </row>
    <row r="89" spans="1:34" x14ac:dyDescent="0.25">
      <c r="A89" s="38"/>
      <c r="B89" s="42" t="s">
        <v>128</v>
      </c>
      <c r="C89">
        <v>8.7266462599716474E-2</v>
      </c>
      <c r="D89">
        <v>20.833333333333332</v>
      </c>
      <c r="E89">
        <f>(1/Gam*(1/M_4^2-1/G89^2)+(Gam+1)/2/Gam*LN((M_4^2/G89^2)*(1+G89^2*(Gam-1)/2)/(1+M_4^2*(Gam-1)/2)))*D89+125</f>
        <v>144.05498475872994</v>
      </c>
      <c r="F89">
        <f>E89/3.28</f>
        <v>43.919202670344497</v>
      </c>
      <c r="G89">
        <f>G88+0.01</f>
        <v>0.6648352653738212</v>
      </c>
      <c r="H89">
        <f>(Gam/Z/Rg)^0.5*G89*(1+G89^2*(Gam-1)/2)^(-(Gam+1)/2/(Gam-1))</f>
        <v>8.3527911870215341E-2</v>
      </c>
      <c r="I89">
        <f>K89/(1+(Gam-1)/2*G89^2)^(Gam/(Gam-1))</f>
        <v>47.267471555689283</v>
      </c>
      <c r="J89" s="21">
        <f>I89*6.89476</f>
        <v>325.89787218330423</v>
      </c>
      <c r="K89">
        <f>mdot*Q89^0.5/C89/H89/gc^0.5/144</f>
        <v>63.580493391355994</v>
      </c>
      <c r="L89" s="21">
        <f>K89*6.89476</f>
        <v>438.37224261498562</v>
      </c>
      <c r="M89">
        <f>Q89/(1+(Gam-1)/2*G89^2)</f>
        <v>606.09085002387667</v>
      </c>
      <c r="N89">
        <f>M89/1.8</f>
        <v>336.71713890215369</v>
      </c>
      <c r="O89">
        <f>M89-'Example 7.3 - Pipe P1'!$C$8</f>
        <v>146.42085002387665</v>
      </c>
      <c r="P89">
        <f>N89-'Example 7.3 - Pipe P1'!$C$9</f>
        <v>63.567138902153715</v>
      </c>
      <c r="Q89">
        <f>Q88</f>
        <v>659.67000000000007</v>
      </c>
      <c r="R89">
        <f>R88</f>
        <v>366.48333333333335</v>
      </c>
      <c r="S89">
        <f>Q89-'Example 7.3 - Pipe P1'!$C$8</f>
        <v>200.00000000000006</v>
      </c>
      <c r="T89">
        <f>R89-'Example 7.3 - Pipe P1'!$C$9</f>
        <v>93.333333333333371</v>
      </c>
      <c r="U89">
        <f>I89/M89/Rg/Z*144</f>
        <v>0.21048846037882818</v>
      </c>
      <c r="V89">
        <f>U89*16.01846</f>
        <v>3.3717009830398443</v>
      </c>
      <c r="W89">
        <f>(Gam*I89/U89*gc*144)^0.5</f>
        <v>1206.8820627629132</v>
      </c>
      <c r="X89">
        <f>W89/3.28</f>
        <v>367.95184840332723</v>
      </c>
      <c r="Y89">
        <f>G89*W89</f>
        <v>802.37775647188607</v>
      </c>
      <c r="Z89">
        <f>Y89/3.28</f>
        <v>244.62736477801405</v>
      </c>
      <c r="AB89">
        <f>E89/$E$122</f>
        <v>0.96033571889607117</v>
      </c>
      <c r="AC89">
        <f>G89</f>
        <v>0.6648352653738212</v>
      </c>
      <c r="AD89">
        <f>I89/$I$3</f>
        <v>0.11998116488728093</v>
      </c>
      <c r="AE89">
        <f>K89/$K$3</f>
        <v>0.15895123347838999</v>
      </c>
      <c r="AF89">
        <f>M89/$M$3</f>
        <v>0.92278337869880511</v>
      </c>
      <c r="AG89">
        <f>U89/$U$3</f>
        <v>0.1300209427877467</v>
      </c>
      <c r="AH89">
        <f>Y89/$Y$3</f>
        <v>4.3262261289572068</v>
      </c>
    </row>
    <row r="90" spans="1:34" x14ac:dyDescent="0.25">
      <c r="A90" s="38"/>
      <c r="B90" s="42" t="s">
        <v>128</v>
      </c>
      <c r="C90">
        <v>8.7266462599716474E-2</v>
      </c>
      <c r="D90">
        <v>20.833333333333332</v>
      </c>
      <c r="E90">
        <f>(1/Gam*(1/M_4^2-1/G90^2)+(Gam+1)/2/Gam*LN((M_4^2/G90^2)*(1+G90^2*(Gam-1)/2)/(1+M_4^2*(Gam-1)/2)))*D90+125</f>
        <v>144.55608739666218</v>
      </c>
      <c r="F90">
        <f>E90/3.28</f>
        <v>44.071977864836036</v>
      </c>
      <c r="G90">
        <f>G89+0.01</f>
        <v>0.67483526537382121</v>
      </c>
      <c r="H90">
        <f>(Gam/Z/Rg)^0.5*G90*(1+G90^2*(Gam-1)/2)^(-(Gam+1)/2/(Gam-1))</f>
        <v>8.4161206140857564E-2</v>
      </c>
      <c r="I90">
        <f>K90/(1+(Gam-1)/2*G90^2)^(Gam/(Gam-1))</f>
        <v>46.509829831479138</v>
      </c>
      <c r="J90" s="21">
        <f>I90*6.89476</f>
        <v>320.67411432888912</v>
      </c>
      <c r="K90">
        <f>mdot*Q90^0.5/C90/H90/gc^0.5/144</f>
        <v>63.10206438545557</v>
      </c>
      <c r="L90" s="21">
        <f>K90*6.89476</f>
        <v>435.07358944226365</v>
      </c>
      <c r="M90">
        <f>Q90/(1+(Gam-1)/2*G90^2)</f>
        <v>604.60248682687779</v>
      </c>
      <c r="N90">
        <f>M90/1.8</f>
        <v>335.89027045937655</v>
      </c>
      <c r="O90">
        <f>M90-'Example 7.3 - Pipe P1'!$C$8</f>
        <v>144.93248682687778</v>
      </c>
      <c r="P90">
        <f>N90-'Example 7.3 - Pipe P1'!$C$9</f>
        <v>62.740270459376575</v>
      </c>
      <c r="Q90">
        <f>Q89</f>
        <v>659.67000000000007</v>
      </c>
      <c r="R90">
        <f>R89</f>
        <v>366.48333333333335</v>
      </c>
      <c r="S90">
        <f>Q90-'Example 7.3 - Pipe P1'!$C$8</f>
        <v>200.00000000000006</v>
      </c>
      <c r="T90">
        <f>R90-'Example 7.3 - Pipe P1'!$C$9</f>
        <v>93.333333333333371</v>
      </c>
      <c r="U90">
        <f>I90/M90/Rg/Z*144</f>
        <v>0.20762443754351306</v>
      </c>
      <c r="V90">
        <f>U90*16.01846</f>
        <v>3.3258237478132626</v>
      </c>
      <c r="W90">
        <f>(Gam*I90/U90*gc*144)^0.5</f>
        <v>1205.3992958052788</v>
      </c>
      <c r="X90">
        <f>W90/3.28</f>
        <v>367.49978530648747</v>
      </c>
      <c r="Y90">
        <f>G90*W90</f>
        <v>813.4459536661725</v>
      </c>
      <c r="Z90">
        <f>Y90/3.28</f>
        <v>248.00181514212576</v>
      </c>
      <c r="AB90">
        <f>E90/$E$122</f>
        <v>0.96367629584899894</v>
      </c>
      <c r="AC90">
        <f>G90</f>
        <v>0.67483526537382121</v>
      </c>
      <c r="AD90">
        <f>I90/$I$3</f>
        <v>0.1180580085675941</v>
      </c>
      <c r="AE90">
        <f>K90/$K$3</f>
        <v>0.15775516096363892</v>
      </c>
      <c r="AF90">
        <f>M90/$M$3</f>
        <v>0.92051732102840234</v>
      </c>
      <c r="AG90">
        <f>U90/$U$3</f>
        <v>0.12825180566477518</v>
      </c>
      <c r="AH90">
        <f>Y90/$Y$3</f>
        <v>4.3859031620206856</v>
      </c>
    </row>
    <row r="91" spans="1:34" x14ac:dyDescent="0.25">
      <c r="A91" s="38"/>
      <c r="B91" s="42" t="s">
        <v>128</v>
      </c>
      <c r="C91">
        <v>8.7266462599716474E-2</v>
      </c>
      <c r="D91">
        <v>20.833333333333332</v>
      </c>
      <c r="E91">
        <f>(1/Gam*(1/M_4^2-1/G91^2)+(Gam+1)/2/Gam*LN((M_4^2/G91^2)*(1+G91^2*(Gam-1)/2)/(1+M_4^2*(Gam-1)/2)))*D91+125</f>
        <v>145.02251108823583</v>
      </c>
      <c r="F91">
        <f>E91/3.28</f>
        <v>44.214180209828001</v>
      </c>
      <c r="G91">
        <f>G90+0.01</f>
        <v>0.68483526537382122</v>
      </c>
      <c r="H91">
        <f>(Gam/Z/Rg)^0.5*G91*(1+G91^2*(Gam-1)/2)^(-(Gam+1)/2/(Gam-1))</f>
        <v>8.4772913941971187E-2</v>
      </c>
      <c r="I91">
        <f>K91/(1+(Gam-1)/2*G91^2)^(Gam/(Gam-1))</f>
        <v>45.773684647496026</v>
      </c>
      <c r="J91" s="21">
        <f>I91*6.89476</f>
        <v>315.5985699601697</v>
      </c>
      <c r="K91">
        <f>mdot*Q91^0.5/C91/H91/gc^0.5/144</f>
        <v>62.646729971949625</v>
      </c>
      <c r="L91" s="21">
        <f>K91*6.89476</f>
        <v>431.93416794139938</v>
      </c>
      <c r="M91">
        <f>Q91/(1+(Gam-1)/2*G91^2)</f>
        <v>603.09935959473944</v>
      </c>
      <c r="N91">
        <f>M91/1.8</f>
        <v>335.05519977485523</v>
      </c>
      <c r="O91">
        <f>M91-'Example 7.3 - Pipe P1'!$C$8</f>
        <v>143.42935959473942</v>
      </c>
      <c r="P91">
        <f>N91-'Example 7.3 - Pipe P1'!$C$9</f>
        <v>61.905199774855248</v>
      </c>
      <c r="Q91">
        <f>Q90</f>
        <v>659.67000000000007</v>
      </c>
      <c r="R91">
        <f>R90</f>
        <v>366.48333333333335</v>
      </c>
      <c r="S91">
        <f>Q91-'Example 7.3 - Pipe P1'!$C$8</f>
        <v>200.00000000000006</v>
      </c>
      <c r="T91">
        <f>R91-'Example 7.3 - Pipe P1'!$C$9</f>
        <v>93.333333333333371</v>
      </c>
      <c r="U91">
        <f>I91/M91/Rg/Z*144</f>
        <v>0.20484749313195169</v>
      </c>
      <c r="V91">
        <f>U91*16.01846</f>
        <v>3.2813413748344429</v>
      </c>
      <c r="W91">
        <f>(Gam*I91/U91*gc*144)^0.5</f>
        <v>1203.899966833786</v>
      </c>
      <c r="X91">
        <f>W91/3.28</f>
        <v>367.04267281517872</v>
      </c>
      <c r="Y91">
        <f>G91*W91</f>
        <v>824.47315327015042</v>
      </c>
      <c r="Z91">
        <f>Y91/3.28</f>
        <v>251.36376624089954</v>
      </c>
      <c r="AB91">
        <f>E91/$E$122</f>
        <v>0.96678568725192571</v>
      </c>
      <c r="AC91">
        <f>G91</f>
        <v>0.68483526537382122</v>
      </c>
      <c r="AD91">
        <f>I91/$I$3</f>
        <v>0.11618941789004125</v>
      </c>
      <c r="AE91">
        <f>K91/$K$3</f>
        <v>0.15661682492987405</v>
      </c>
      <c r="AF91">
        <f>M91/$M$3</f>
        <v>0.91822878486945492</v>
      </c>
      <c r="AG91">
        <f>U91/$U$3</f>
        <v>0.12653645780289927</v>
      </c>
      <c r="AH91">
        <f>Y91/$Y$3</f>
        <v>4.4453591460271751</v>
      </c>
    </row>
    <row r="92" spans="1:34" x14ac:dyDescent="0.25">
      <c r="A92" s="38"/>
      <c r="B92" s="42" t="s">
        <v>128</v>
      </c>
      <c r="C92">
        <v>8.7266462599716474E-2</v>
      </c>
      <c r="D92">
        <v>20.833333333333332</v>
      </c>
      <c r="E92">
        <f>(1/Gam*(1/M_4^2-1/G92^2)+(Gam+1)/2/Gam*LN((M_4^2/G92^2)*(1+G92^2*(Gam-1)/2)/(1+M_4^2*(Gam-1)/2)))*D92+125</f>
        <v>145.45648546054977</v>
      </c>
      <c r="F92">
        <f>E92/3.28</f>
        <v>44.34648946967981</v>
      </c>
      <c r="G92">
        <f>G91+0.01</f>
        <v>0.69483526537382123</v>
      </c>
      <c r="H92">
        <f>(Gam/Z/Rg)^0.5*G92*(1+G92^2*(Gam-1)/2)^(-(Gam+1)/2/(Gam-1))</f>
        <v>8.5363101946325667E-2</v>
      </c>
      <c r="I92">
        <f>K92/(1+(Gam-1)/2*G92^2)^(Gam/(Gam-1))</f>
        <v>45.058115827403498</v>
      </c>
      <c r="J92" s="21">
        <f>I92*6.89476</f>
        <v>310.66489468214854</v>
      </c>
      <c r="K92">
        <f>mdot*Q92^0.5/C92/H92/gc^0.5/144</f>
        <v>62.213599641649225</v>
      </c>
      <c r="L92" s="21">
        <f>K92*6.89476</f>
        <v>428.94783826525742</v>
      </c>
      <c r="M92">
        <f>Q92/(1+(Gam-1)/2*G92^2)</f>
        <v>601.5817426588485</v>
      </c>
      <c r="N92">
        <f>M92/1.8</f>
        <v>334.21207925491581</v>
      </c>
      <c r="O92">
        <f>M92-'Example 7.3 - Pipe P1'!$C$8</f>
        <v>141.91174265884848</v>
      </c>
      <c r="P92">
        <f>N92-'Example 7.3 - Pipe P1'!$C$9</f>
        <v>61.06207925491583</v>
      </c>
      <c r="Q92">
        <f>Q91</f>
        <v>659.67000000000007</v>
      </c>
      <c r="R92">
        <f>R91</f>
        <v>366.48333333333335</v>
      </c>
      <c r="S92">
        <f>Q92-'Example 7.3 - Pipe P1'!$C$8</f>
        <v>200.00000000000006</v>
      </c>
      <c r="T92">
        <f>R92-'Example 7.3 - Pipe P1'!$C$9</f>
        <v>93.333333333333371</v>
      </c>
      <c r="U92">
        <f>I92/M92/Rg/Z*144</f>
        <v>0.20215385484658044</v>
      </c>
      <c r="V92">
        <f>U92*16.01846</f>
        <v>3.2381934377057551</v>
      </c>
      <c r="W92">
        <f>(Gam*I92/U92*gc*144)^0.5</f>
        <v>1202.3842880455111</v>
      </c>
      <c r="X92">
        <f>W92/3.28</f>
        <v>366.58057562363143</v>
      </c>
      <c r="Y92">
        <f>G92*W92</f>
        <v>835.45900586541575</v>
      </c>
      <c r="Z92">
        <f>Y92/3.28</f>
        <v>254.71311154433408</v>
      </c>
      <c r="AB92">
        <f>E92/$E$122</f>
        <v>0.96967875680808568</v>
      </c>
      <c r="AC92">
        <f>G92</f>
        <v>0.69483526537382123</v>
      </c>
      <c r="AD92">
        <f>I92/$I$3</f>
        <v>0.11437305712933149</v>
      </c>
      <c r="AE92">
        <f>K92/$K$3</f>
        <v>0.15553399910412305</v>
      </c>
      <c r="AF92">
        <f>M92/$M$3</f>
        <v>0.91591818789605262</v>
      </c>
      <c r="AG92">
        <f>U92/$U$3</f>
        <v>0.12487256901411335</v>
      </c>
      <c r="AH92">
        <f>Y92/$Y$3</f>
        <v>4.5045921969974447</v>
      </c>
    </row>
    <row r="93" spans="1:34" x14ac:dyDescent="0.25">
      <c r="A93" s="38"/>
      <c r="B93" s="42" t="s">
        <v>128</v>
      </c>
      <c r="C93">
        <v>8.7266462599716474E-2</v>
      </c>
      <c r="D93">
        <v>20.833333333333332</v>
      </c>
      <c r="E93">
        <f>(1/Gam*(1/M_4^2-1/G93^2)+(Gam+1)/2/Gam*LN((M_4^2/G93^2)*(1+G93^2*(Gam-1)/2)/(1+M_4^2*(Gam-1)/2)))*D93+125</f>
        <v>145.8600765049959</v>
      </c>
      <c r="F93">
        <f>E93/3.28</f>
        <v>44.469535519815828</v>
      </c>
      <c r="G93">
        <f>G92+0.01</f>
        <v>0.70483526537382124</v>
      </c>
      <c r="H93">
        <f>(Gam/Z/Rg)^0.5*G93*(1+G93^2*(Gam-1)/2)^(-(Gam+1)/2/(Gam-1))</f>
        <v>8.593184676647514E-2</v>
      </c>
      <c r="I93">
        <f>K93/(1+(Gam-1)/2*G93^2)^(Gam/(Gam-1))</f>
        <v>44.362255446201814</v>
      </c>
      <c r="J93" s="21">
        <f>I93*6.89476</f>
        <v>305.86710436025442</v>
      </c>
      <c r="K93">
        <f>mdot*Q93^0.5/C93/H93/gc^0.5/144</f>
        <v>61.801835390437468</v>
      </c>
      <c r="L93" s="21">
        <f>K93*6.89476</f>
        <v>426.10882257657261</v>
      </c>
      <c r="M93">
        <f>Q93/(1+(Gam-1)/2*G93^2)</f>
        <v>600.04991077955117</v>
      </c>
      <c r="N93">
        <f>M93/1.8</f>
        <v>333.36106154419508</v>
      </c>
      <c r="O93">
        <f>M93-'Example 7.3 - Pipe P1'!$C$8</f>
        <v>140.37991077955115</v>
      </c>
      <c r="P93">
        <f>N93-'Example 7.3 - Pipe P1'!$C$9</f>
        <v>60.211061544195104</v>
      </c>
      <c r="Q93">
        <f>Q92</f>
        <v>659.67000000000007</v>
      </c>
      <c r="R93">
        <f>R92</f>
        <v>366.48333333333335</v>
      </c>
      <c r="S93">
        <f>Q93-'Example 7.3 - Pipe P1'!$C$8</f>
        <v>200.00000000000006</v>
      </c>
      <c r="T93">
        <f>R93-'Example 7.3 - Pipe P1'!$C$9</f>
        <v>93.333333333333371</v>
      </c>
      <c r="U93">
        <f>I93/M93/Rg/Z*144</f>
        <v>0.19953996436667065</v>
      </c>
      <c r="V93">
        <f>U93*16.01846</f>
        <v>3.1963229376089393</v>
      </c>
      <c r="W93">
        <f>(Gam*I93/U93*gc*144)^0.5</f>
        <v>1200.8524724644401</v>
      </c>
      <c r="X93">
        <f>W93/3.28</f>
        <v>366.11355867818298</v>
      </c>
      <c r="Y93">
        <f>G93*W93</f>
        <v>846.40317110428305</v>
      </c>
      <c r="Z93">
        <f>Y93/3.28</f>
        <v>258.04974728789119</v>
      </c>
      <c r="AB93">
        <f>E93/$E$122</f>
        <v>0.97236927735103906</v>
      </c>
      <c r="AC93">
        <f>G93</f>
        <v>0.70483526537382124</v>
      </c>
      <c r="AD93">
        <f>I93/$I$3</f>
        <v>0.11260672319210958</v>
      </c>
      <c r="AE93">
        <f>K93/$K$3</f>
        <v>0.15450458847609366</v>
      </c>
      <c r="AF93">
        <f>M93/$M$3</f>
        <v>0.91358594843538288</v>
      </c>
      <c r="AG93">
        <f>U93/$U$3</f>
        <v>0.12325794128616038</v>
      </c>
      <c r="AH93">
        <f>Y93/$Y$3</f>
        <v>4.5636004798593728</v>
      </c>
    </row>
    <row r="94" spans="1:34" x14ac:dyDescent="0.25">
      <c r="A94" s="38"/>
      <c r="B94" s="42" t="s">
        <v>128</v>
      </c>
      <c r="C94">
        <v>8.7266462599716474E-2</v>
      </c>
      <c r="D94">
        <v>20.833333333333332</v>
      </c>
      <c r="E94">
        <f>(1/Gam*(1/M_4^2-1/G94^2)+(Gam+1)/2/Gam*LN((M_4^2/G94^2)*(1+G94^2*(Gam-1)/2)/(1+M_4^2*(Gam-1)/2)))*D94+125</f>
        <v>146.23520047716977</v>
      </c>
      <c r="F94">
        <f>E94/3.28</f>
        <v>44.583902584502979</v>
      </c>
      <c r="G94">
        <f>G93+0.01</f>
        <v>0.71483526537382125</v>
      </c>
      <c r="H94">
        <f>(Gam/Z/Rg)^0.5*G94*(1+G94^2*(Gam-1)/2)^(-(Gam+1)/2/(Gam-1))</f>
        <v>8.6479234725548151E-2</v>
      </c>
      <c r="I94">
        <f>K94/(1+(Gam-1)/2*G94^2)^(Gam/(Gam-1))</f>
        <v>43.685284172852377</v>
      </c>
      <c r="J94" s="21">
        <f>I94*6.89476</f>
        <v>301.19954990361566</v>
      </c>
      <c r="K94">
        <f>mdot*Q94^0.5/C94/H94/gc^0.5/144</f>
        <v>61.410648064963326</v>
      </c>
      <c r="L94" s="21">
        <f>K94*6.89476</f>
        <v>423.4116798523865</v>
      </c>
      <c r="M94">
        <f>Q94/(1+(Gam-1)/2*G94^2)</f>
        <v>598.50413904106983</v>
      </c>
      <c r="N94">
        <f>M94/1.8</f>
        <v>332.50229946726103</v>
      </c>
      <c r="O94">
        <f>M94-'Example 7.3 - Pipe P1'!$C$8</f>
        <v>138.83413904106982</v>
      </c>
      <c r="P94">
        <f>N94-'Example 7.3 - Pipe P1'!$C$9</f>
        <v>59.352299467261048</v>
      </c>
      <c r="Q94">
        <f>Q93</f>
        <v>659.67000000000007</v>
      </c>
      <c r="R94">
        <f>R93</f>
        <v>366.48333333333335</v>
      </c>
      <c r="S94">
        <f>Q94-'Example 7.3 - Pipe P1'!$C$8</f>
        <v>200.00000000000006</v>
      </c>
      <c r="T94">
        <f>R94-'Example 7.3 - Pipe P1'!$C$9</f>
        <v>93.333333333333371</v>
      </c>
      <c r="U94">
        <f>I94/M94/Rg/Z*144</f>
        <v>0.19700246238416713</v>
      </c>
      <c r="V94">
        <f>U94*16.01846</f>
        <v>3.1556760636022863</v>
      </c>
      <c r="W94">
        <f>(Gam*I94/U94*gc*144)^0.5</f>
        <v>1199.3047338702613</v>
      </c>
      <c r="X94">
        <f>W94/3.28</f>
        <v>365.64168715556752</v>
      </c>
      <c r="Y94">
        <f>G94*W94</f>
        <v>857.30531770022833</v>
      </c>
      <c r="Z94">
        <f>Y94/3.28</f>
        <v>261.3735724695818</v>
      </c>
      <c r="AB94">
        <f>E94/$E$122</f>
        <v>0.97487002350776586</v>
      </c>
      <c r="AC94">
        <f>G94</f>
        <v>0.71483526537382125</v>
      </c>
      <c r="AD94">
        <f>I94/$I$3</f>
        <v>0.11088833633327379</v>
      </c>
      <c r="AE94">
        <f>K94/$K$3</f>
        <v>0.15352662016240831</v>
      </c>
      <c r="AF94">
        <f>M94/$M$3</f>
        <v>0.91123248530774004</v>
      </c>
      <c r="AG94">
        <f>U94/$U$3</f>
        <v>0.12169049953901143</v>
      </c>
      <c r="AH94">
        <f>Y94/$Y$3</f>
        <v>4.6223822083964263</v>
      </c>
    </row>
    <row r="95" spans="1:34" x14ac:dyDescent="0.25">
      <c r="A95" s="38"/>
      <c r="B95" s="42" t="s">
        <v>128</v>
      </c>
      <c r="C95">
        <v>8.7266462599716474E-2</v>
      </c>
      <c r="D95">
        <v>20.833333333333332</v>
      </c>
      <c r="E95">
        <f>(1/Gam*(1/M_4^2-1/G95^2)+(Gam+1)/2/Gam*LN((M_4^2/G95^2)*(1+G95^2*(Gam-1)/2)/(1+M_4^2*(Gam-1)/2)))*D95+125</f>
        <v>146.58363644937631</v>
      </c>
      <c r="F95">
        <f>E95/3.28</f>
        <v>44.690133063834246</v>
      </c>
      <c r="G95">
        <f>G94+0.01</f>
        <v>0.72483526537382126</v>
      </c>
      <c r="H95">
        <f>(Gam/Z/Rg)^0.5*G95*(1+G95^2*(Gam-1)/2)^(-(Gam+1)/2/(Gam-1))</f>
        <v>8.7005361623171143E-2</v>
      </c>
      <c r="I95">
        <f>K95/(1+(Gam-1)/2*G95^2)^(Gam/(Gam-1))</f>
        <v>43.026427915673544</v>
      </c>
      <c r="J95" s="21">
        <f>I95*6.89476</f>
        <v>296.65689413586932</v>
      </c>
      <c r="K95">
        <f>mdot*Q95^0.5/C95/H95/gc^0.5/144</f>
        <v>61.039294011090483</v>
      </c>
      <c r="L95" s="21">
        <f>K95*6.89476</f>
        <v>420.85128277590621</v>
      </c>
      <c r="M95">
        <f>Q95/(1+(Gam-1)/2*G95^2)</f>
        <v>596.94470274782987</v>
      </c>
      <c r="N95">
        <f>M95/1.8</f>
        <v>331.63594597101661</v>
      </c>
      <c r="O95">
        <f>M95-'Example 7.3 - Pipe P1'!$C$8</f>
        <v>137.27470274782985</v>
      </c>
      <c r="P95">
        <f>N95-'Example 7.3 - Pipe P1'!$C$9</f>
        <v>58.485945971016633</v>
      </c>
      <c r="Q95">
        <f>Q94</f>
        <v>659.67000000000007</v>
      </c>
      <c r="R95">
        <f>R94</f>
        <v>366.48333333333335</v>
      </c>
      <c r="S95">
        <f>Q95-'Example 7.3 - Pipe P1'!$C$8</f>
        <v>200.00000000000006</v>
      </c>
      <c r="T95">
        <f>R95-'Example 7.3 - Pipe P1'!$C$9</f>
        <v>93.333333333333371</v>
      </c>
      <c r="U95">
        <f>I95/M95/Rg/Z*144</f>
        <v>0.19453817487821895</v>
      </c>
      <c r="V95">
        <f>U95*16.01846</f>
        <v>3.1162019727597552</v>
      </c>
      <c r="W95">
        <f>(Gam*I95/U95*gc*144)^0.5</f>
        <v>1197.7412867277992</v>
      </c>
      <c r="X95">
        <f>W95/3.28</f>
        <v>365.16502644140223</v>
      </c>
      <c r="Y95">
        <f>G95*W95</f>
        <v>868.16512341452642</v>
      </c>
      <c r="Z95">
        <f>Y95/3.28</f>
        <v>264.68448884589219</v>
      </c>
      <c r="AB95">
        <f>E95/$E$122</f>
        <v>0.97719285537935063</v>
      </c>
      <c r="AC95">
        <f>G95</f>
        <v>0.72483526537382126</v>
      </c>
      <c r="AD95">
        <f>I95/$I$3</f>
        <v>0.10921593164083207</v>
      </c>
      <c r="AE95">
        <f>K95/$K$3</f>
        <v>0.15259823502772621</v>
      </c>
      <c r="AF95">
        <f>M95/$M$3</f>
        <v>0.90885821766868091</v>
      </c>
      <c r="AG95">
        <f>U95/$U$3</f>
        <v>0.12016828314649856</v>
      </c>
      <c r="AH95">
        <f>Y95/$Y$3</f>
        <v>4.6809356451756043</v>
      </c>
    </row>
    <row r="96" spans="1:34" x14ac:dyDescent="0.25">
      <c r="A96" s="38"/>
      <c r="B96" s="42" t="s">
        <v>128</v>
      </c>
      <c r="C96">
        <v>8.7266462599716474E-2</v>
      </c>
      <c r="D96">
        <v>20.833333333333332</v>
      </c>
      <c r="E96">
        <f>(1/Gam*(1/M_4^2-1/G96^2)+(Gam+1)/2/Gam*LN((M_4^2/G96^2)*(1+G96^2*(Gam-1)/2)/(1+M_4^2*(Gam-1)/2)))*D96+125</f>
        <v>146.90703766239457</v>
      </c>
      <c r="F96">
        <f>E96/3.28</f>
        <v>44.788730994632495</v>
      </c>
      <c r="G96">
        <f>G95+0.01</f>
        <v>0.73483526537382127</v>
      </c>
      <c r="H96">
        <f>(Gam/Z/Rg)^0.5*G96*(1+G96^2*(Gam-1)/2)^(-(Gam+1)/2/(Gam-1))</f>
        <v>8.7510332496931964E-2</v>
      </c>
      <c r="I96">
        <f>K96/(1+(Gam-1)/2*G96^2)^(Gam/(Gam-1))</f>
        <v>42.384954741667066</v>
      </c>
      <c r="J96" s="21">
        <f>I96*6.89476</f>
        <v>292.2340905546564</v>
      </c>
      <c r="K96">
        <f>mdot*Q96^0.5/C96/H96/gc^0.5/144</f>
        <v>60.687071996260357</v>
      </c>
      <c r="L96" s="21">
        <f>K96*6.89476</f>
        <v>418.42279651693605</v>
      </c>
      <c r="M96">
        <f>Q96/(1+(Gam-1)/2*G96^2)</f>
        <v>595.37187732224959</v>
      </c>
      <c r="N96">
        <f>M96/1.8</f>
        <v>330.76215406791641</v>
      </c>
      <c r="O96">
        <f>M96-'Example 7.3 - Pipe P1'!$C$8</f>
        <v>135.70187732224957</v>
      </c>
      <c r="P96">
        <f>N96-'Example 7.3 - Pipe P1'!$C$9</f>
        <v>57.612154067916435</v>
      </c>
      <c r="Q96">
        <f>Q95</f>
        <v>659.67000000000007</v>
      </c>
      <c r="R96">
        <f>R95</f>
        <v>366.48333333333335</v>
      </c>
      <c r="S96">
        <f>Q96-'Example 7.3 - Pipe P1'!$C$8</f>
        <v>200.00000000000006</v>
      </c>
      <c r="T96">
        <f>R96-'Example 7.3 - Pipe P1'!$C$9</f>
        <v>93.333333333333371</v>
      </c>
      <c r="U96">
        <f>I96/M96/Rg/Z*144</f>
        <v>0.1921441005104029</v>
      </c>
      <c r="V96">
        <f>U96*16.01846</f>
        <v>3.0778525882618686</v>
      </c>
      <c r="W96">
        <f>(Gam*I96/U96*gc*144)^0.5</f>
        <v>1196.1623461171293</v>
      </c>
      <c r="X96">
        <f>W96/3.28</f>
        <v>364.68364210888092</v>
      </c>
      <c r="Y96">
        <f>G96*W96</f>
        <v>878.98227503915336</v>
      </c>
      <c r="Z96">
        <f>Y96/3.28</f>
        <v>267.98240092657119</v>
      </c>
      <c r="AB96">
        <f>E96/$E$122</f>
        <v>0.97934879421698207</v>
      </c>
      <c r="AC96">
        <f>G96</f>
        <v>0.73483526537382127</v>
      </c>
      <c r="AD96">
        <f>I96/$I$3</f>
        <v>0.10758765121608878</v>
      </c>
      <c r="AE96">
        <f>K96/$K$3</f>
        <v>0.15171767999065089</v>
      </c>
      <c r="AF96">
        <f>M96/$M$3</f>
        <v>0.90646356485340873</v>
      </c>
      <c r="AG96">
        <f>U96/$U$3</f>
        <v>0.11868943815021138</v>
      </c>
      <c r="AH96">
        <f>Y96/$Y$3</f>
        <v>4.7392591014552563</v>
      </c>
    </row>
    <row r="97" spans="1:34" x14ac:dyDescent="0.25">
      <c r="A97" s="38"/>
      <c r="B97" s="42" t="s">
        <v>128</v>
      </c>
      <c r="C97">
        <v>8.7266462599716474E-2</v>
      </c>
      <c r="D97">
        <v>20.833333333333332</v>
      </c>
      <c r="E97">
        <f>(1/Gam*(1/M_4^2-1/G97^2)+(Gam+1)/2/Gam*LN((M_4^2/G97^2)*(1+G97^2*(Gam-1)/2)/(1+M_4^2*(Gam-1)/2)))*D97+125</f>
        <v>147.20694180548432</v>
      </c>
      <c r="F97">
        <f>E97/3.28</f>
        <v>44.88016518459888</v>
      </c>
      <c r="G97">
        <f>G96+0.01</f>
        <v>0.74483526537382128</v>
      </c>
      <c r="H97">
        <f>(Gam/Z/Rg)^0.5*G97*(1+G97^2*(Gam-1)/2)^(-(Gam+1)/2/(Gam-1))</f>
        <v>8.7994261379785624E-2</v>
      </c>
      <c r="I97">
        <f>K97/(1+(Gam-1)/2*G97^2)^(Gam/(Gam-1))</f>
        <v>41.760172044032309</v>
      </c>
      <c r="J97" s="21">
        <f>I97*6.89476</f>
        <v>287.92636380231221</v>
      </c>
      <c r="K97">
        <f>mdot*Q97^0.5/C97/H97/gc^0.5/144</f>
        <v>60.353320380026474</v>
      </c>
      <c r="L97" s="21">
        <f>K97*6.89476</f>
        <v>416.1216592233913</v>
      </c>
      <c r="M97">
        <f>Q97/(1+(Gam-1)/2*G97^2)</f>
        <v>593.78593820404615</v>
      </c>
      <c r="N97">
        <f>M97/1.8</f>
        <v>329.88107678002564</v>
      </c>
      <c r="O97">
        <f>M97-'Example 7.3 - Pipe P1'!$C$8</f>
        <v>134.11593820404613</v>
      </c>
      <c r="P97">
        <f>N97-'Example 7.3 - Pipe P1'!$C$9</f>
        <v>56.73107678002566</v>
      </c>
      <c r="Q97">
        <f>Q96</f>
        <v>659.67000000000007</v>
      </c>
      <c r="R97">
        <f>R96</f>
        <v>366.48333333333335</v>
      </c>
      <c r="S97">
        <f>Q97-'Example 7.3 - Pipe P1'!$C$8</f>
        <v>200.00000000000006</v>
      </c>
      <c r="T97">
        <f>R97-'Example 7.3 - Pipe P1'!$C$9</f>
        <v>93.333333333333371</v>
      </c>
      <c r="U97">
        <f>I97/M97/Rg/Z*144</f>
        <v>0.18981739903531608</v>
      </c>
      <c r="V97">
        <f>U97*16.01846</f>
        <v>3.0405824137512494</v>
      </c>
      <c r="W97">
        <f>(Gam*I97/U97*gc*144)^0.5</f>
        <v>1194.5681276644043</v>
      </c>
      <c r="X97">
        <f>W97/3.28</f>
        <v>364.19759989768426</v>
      </c>
      <c r="Y97">
        <f>G97*W97</f>
        <v>889.7564683760254</v>
      </c>
      <c r="Z97">
        <f>Y97/3.28</f>
        <v>271.26721596830043</v>
      </c>
      <c r="AB97">
        <f>E97/$E$122</f>
        <v>0.98134809095313014</v>
      </c>
      <c r="AC97">
        <f>G97</f>
        <v>0.74483526537382128</v>
      </c>
      <c r="AD97">
        <f>I97/$I$3</f>
        <v>0.10600173698381771</v>
      </c>
      <c r="AE97">
        <f>K97/$K$3</f>
        <v>0.15088330095006619</v>
      </c>
      <c r="AF97">
        <f>M97/$M$3</f>
        <v>0.90404894622346454</v>
      </c>
      <c r="AG97">
        <f>U97/$U$3</f>
        <v>0.1172522101005978</v>
      </c>
      <c r="AH97">
        <f>Y97/$Y$3</f>
        <v>4.7973509370731415</v>
      </c>
    </row>
    <row r="98" spans="1:34" x14ac:dyDescent="0.25">
      <c r="A98" s="38"/>
      <c r="B98" s="42" t="s">
        <v>128</v>
      </c>
      <c r="C98">
        <v>8.7266462599716474E-2</v>
      </c>
      <c r="D98">
        <v>20.833333333333332</v>
      </c>
      <c r="E98">
        <f>(1/Gam*(1/M_4^2-1/G98^2)+(Gam+1)/2/Gam*LN((M_4^2/G98^2)*(1+G98^2*(Gam-1)/2)/(1+M_4^2*(Gam-1)/2)))*D98+125</f>
        <v>147.48478033827217</v>
      </c>
      <c r="F98">
        <f>E98/3.28</f>
        <v>44.964872054351275</v>
      </c>
      <c r="G98">
        <f>G97+0.01</f>
        <v>0.75483526537382128</v>
      </c>
      <c r="H98">
        <f>(Gam/Z/Rg)^0.5*G98*(1+G98^2*(Gam-1)/2)^(-(Gam+1)/2/(Gam-1))</f>
        <v>8.8457271053799247E-2</v>
      </c>
      <c r="I98">
        <f>K98/(1+(Gam-1)/2*G98^2)^(Gam/(Gam-1))</f>
        <v>41.151423934853504</v>
      </c>
      <c r="J98" s="21">
        <f>I98*6.89476</f>
        <v>283.72919168907055</v>
      </c>
      <c r="K98">
        <f>mdot*Q98^0.5/C98/H98/gc^0.5/144</f>
        <v>60.037414509747023</v>
      </c>
      <c r="L98" s="21">
        <f>K98*6.89476</f>
        <v>413.94356406522337</v>
      </c>
      <c r="M98">
        <f>Q98/(1+(Gam-1)/2*G98^2)</f>
        <v>592.18716075110262</v>
      </c>
      <c r="N98">
        <f>M98/1.8</f>
        <v>328.9928670839459</v>
      </c>
      <c r="O98">
        <f>M98-'Example 7.3 - Pipe P1'!$C$8</f>
        <v>132.51716075110261</v>
      </c>
      <c r="P98">
        <f>N98-'Example 7.3 - Pipe P1'!$C$9</f>
        <v>55.842867083945919</v>
      </c>
      <c r="Q98">
        <f>Q97</f>
        <v>659.67000000000007</v>
      </c>
      <c r="R98">
        <f>R97</f>
        <v>366.48333333333335</v>
      </c>
      <c r="S98">
        <f>Q98-'Example 7.3 - Pipe P1'!$C$8</f>
        <v>200.00000000000006</v>
      </c>
      <c r="T98">
        <f>R98-'Example 7.3 - Pipe P1'!$C$9</f>
        <v>93.333333333333371</v>
      </c>
      <c r="U98">
        <f>I98/M98/Rg/Z*144</f>
        <v>0.18755538063237581</v>
      </c>
      <c r="V98">
        <f>U98*16.01846</f>
        <v>3.0043483624444867</v>
      </c>
      <c r="W98">
        <f>(Gam*I98/U98*gc*144)^0.5</f>
        <v>1192.9588474734276</v>
      </c>
      <c r="X98">
        <f>W98/3.28</f>
        <v>363.70696569311821</v>
      </c>
      <c r="Y98">
        <f>G98*W98</f>
        <v>900.48740821265267</v>
      </c>
      <c r="Z98">
        <f>Y98/3.28</f>
        <v>274.53884396727216</v>
      </c>
      <c r="AB98">
        <f>E98/$E$122</f>
        <v>0.98320028834545736</v>
      </c>
      <c r="AC98">
        <f>G98</f>
        <v>0.75483526537382128</v>
      </c>
      <c r="AD98">
        <f>I98/$I$3</f>
        <v>0.1044565240740019</v>
      </c>
      <c r="AE98">
        <f>K98/$K$3</f>
        <v>0.15009353627436756</v>
      </c>
      <c r="AF98">
        <f>M98/$M$3</f>
        <v>0.90161478101579551</v>
      </c>
      <c r="AG98">
        <f>U98/$U$3</f>
        <v>0.11585493746710425</v>
      </c>
      <c r="AH98">
        <f>Y98/$Y$3</f>
        <v>4.8552095603151617</v>
      </c>
    </row>
    <row r="99" spans="1:34" x14ac:dyDescent="0.25">
      <c r="A99" s="38"/>
      <c r="B99" s="42" t="s">
        <v>128</v>
      </c>
      <c r="C99">
        <v>8.7266462599716474E-2</v>
      </c>
      <c r="D99">
        <v>20.833333333333332</v>
      </c>
      <c r="E99">
        <f>(1/Gam*(1/M_4^2-1/G99^2)+(Gam+1)/2/Gam*LN((M_4^2/G99^2)*(1+G99^2*(Gam-1)/2)/(1+M_4^2*(Gam-1)/2)))*D99+125</f>
        <v>147.74188695480655</v>
      </c>
      <c r="F99">
        <f>E99/3.28</f>
        <v>45.04325821792883</v>
      </c>
      <c r="G99">
        <f>G98+0.01</f>
        <v>0.76483526537382129</v>
      </c>
      <c r="H99">
        <f>(Gam/Z/Rg)^0.5*G99*(1+G99^2*(Gam-1)/2)^(-(Gam+1)/2/(Gam-1))</f>
        <v>8.8899492800631655E-2</v>
      </c>
      <c r="I99">
        <f>K99/(1+(Gam-1)/2*G99^2)^(Gam/(Gam-1))</f>
        <v>40.558088842352547</v>
      </c>
      <c r="J99" s="21">
        <f>I99*6.89476</f>
        <v>279.63828862669862</v>
      </c>
      <c r="K99">
        <f>mdot*Q99^0.5/C99/H99/gc^0.5/144</f>
        <v>59.738764320827009</v>
      </c>
      <c r="L99" s="21">
        <f>K99*6.89476</f>
        <v>411.88444268866522</v>
      </c>
      <c r="M99">
        <f>Q99/(1+(Gam-1)/2*G99^2)</f>
        <v>590.57582014194611</v>
      </c>
      <c r="N99">
        <f>M99/1.8</f>
        <v>328.09767785663672</v>
      </c>
      <c r="O99">
        <f>M99-'Example 7.3 - Pipe P1'!$C$8</f>
        <v>130.90582014194609</v>
      </c>
      <c r="P99">
        <f>N99-'Example 7.3 - Pipe P1'!$C$9</f>
        <v>54.947677856636744</v>
      </c>
      <c r="Q99">
        <f>Q98</f>
        <v>659.67000000000007</v>
      </c>
      <c r="R99">
        <f>R98</f>
        <v>366.48333333333335</v>
      </c>
      <c r="S99">
        <f>Q99-'Example 7.3 - Pipe P1'!$C$8</f>
        <v>200.00000000000006</v>
      </c>
      <c r="T99">
        <f>R99-'Example 7.3 - Pipe P1'!$C$9</f>
        <v>93.333333333333371</v>
      </c>
      <c r="U99">
        <f>I99/M99/Rg/Z*144</f>
        <v>0.18535549607451346</v>
      </c>
      <c r="V99">
        <f>U99*16.01846</f>
        <v>2.9691095996497512</v>
      </c>
      <c r="W99">
        <f>(Gam*I99/U99*gc*144)^0.5</f>
        <v>1191.3347220580001</v>
      </c>
      <c r="X99">
        <f>W99/3.28</f>
        <v>363.21180550548786</v>
      </c>
      <c r="Y99">
        <f>G99*W99</f>
        <v>911.17480829427814</v>
      </c>
      <c r="Z99">
        <f>Y99/3.28</f>
        <v>277.79719765069456</v>
      </c>
      <c r="AB99">
        <f>E99/$E$122</f>
        <v>0.98491427740203885</v>
      </c>
      <c r="AC99">
        <f>G99</f>
        <v>0.76483526537382129</v>
      </c>
      <c r="AD99">
        <f>I99/$I$3</f>
        <v>0.10295043472283162</v>
      </c>
      <c r="AE99">
        <f>K99/$K$3</f>
        <v>0.14934691080206752</v>
      </c>
      <c r="AF99">
        <f>M99/$M$3</f>
        <v>0.89916148819427633</v>
      </c>
      <c r="AG99">
        <f>U99/$U$3</f>
        <v>0.11449604556527419</v>
      </c>
      <c r="AH99">
        <f>Y99/$Y$3</f>
        <v>4.9128334277651406</v>
      </c>
    </row>
    <row r="100" spans="1:34" x14ac:dyDescent="0.25">
      <c r="A100" s="38"/>
      <c r="B100" s="42" t="s">
        <v>128</v>
      </c>
      <c r="C100">
        <v>8.7266462599716474E-2</v>
      </c>
      <c r="D100">
        <v>20.833333333333332</v>
      </c>
      <c r="E100">
        <f>(1/Gam*(1/M_4^2-1/G100^2)+(Gam+1)/2/Gam*LN((M_4^2/G100^2)*(1+G100^2*(Gam-1)/2)/(1+M_4^2*(Gam-1)/2)))*D100+125</f>
        <v>147.97950527844182</v>
      </c>
      <c r="F100">
        <f>E100/3.28</f>
        <v>45.115702828793239</v>
      </c>
      <c r="G100">
        <f>G99+0.01</f>
        <v>0.7748352653738213</v>
      </c>
      <c r="H100">
        <f>(Gam/Z/Rg)^0.5*G100*(1+G100^2*(Gam-1)/2)^(-(Gam+1)/2/(Gam-1))</f>
        <v>8.9321066149134848E-2</v>
      </c>
      <c r="I100">
        <f>K100/(1+(Gam-1)/2*G100^2)^(Gam/(Gam-1))</f>
        <v>39.979577294227759</v>
      </c>
      <c r="J100" s="21">
        <f>I100*6.89476</f>
        <v>275.64959034514976</v>
      </c>
      <c r="K100">
        <f>mdot*Q100^0.5/C100/H100/gc^0.5/144</f>
        <v>59.456812123031646</v>
      </c>
      <c r="L100" s="21">
        <f>K100*6.89476</f>
        <v>409.94044995339368</v>
      </c>
      <c r="M100">
        <f>Q100/(1+(Gam-1)/2*G100^2)</f>
        <v>588.95219127987809</v>
      </c>
      <c r="N100">
        <f>M100/1.8</f>
        <v>327.19566182215448</v>
      </c>
      <c r="O100">
        <f>M100-'Example 7.3 - Pipe P1'!$C$8</f>
        <v>129.28219127987808</v>
      </c>
      <c r="P100">
        <f>N100-'Example 7.3 - Pipe P1'!$C$9</f>
        <v>54.0456618221545</v>
      </c>
      <c r="Q100">
        <f>Q99</f>
        <v>659.67000000000007</v>
      </c>
      <c r="R100">
        <f>R99</f>
        <v>366.48333333333335</v>
      </c>
      <c r="S100">
        <f>Q100-'Example 7.3 - Pipe P1'!$C$8</f>
        <v>200.00000000000006</v>
      </c>
      <c r="T100">
        <f>R100-'Example 7.3 - Pipe P1'!$C$9</f>
        <v>93.333333333333371</v>
      </c>
      <c r="U100">
        <f>I100/M100/Rg/Z*144</f>
        <v>0.18321532765815579</v>
      </c>
      <c r="V100">
        <f>U100*16.01846</f>
        <v>2.9348273974790624</v>
      </c>
      <c r="W100">
        <f>(Gam*I100/U100*gc*144)^0.5</f>
        <v>1189.6959682750821</v>
      </c>
      <c r="X100">
        <f>W100/3.28</f>
        <v>362.71218544972021</v>
      </c>
      <c r="Y100">
        <f>G100*W100</f>
        <v>921.81839129258856</v>
      </c>
      <c r="Z100">
        <f>Y100/3.28</f>
        <v>281.04219246725262</v>
      </c>
      <c r="AB100">
        <f>E100/$E$122</f>
        <v>0.98649834867894293</v>
      </c>
      <c r="AC100">
        <f>G100</f>
        <v>0.7748352653738213</v>
      </c>
      <c r="AD100">
        <f>I100/$I$3</f>
        <v>0.1014819726460527</v>
      </c>
      <c r="AE100">
        <f>K100/$K$3</f>
        <v>0.14864203030757911</v>
      </c>
      <c r="AF100">
        <f>M100/$M$3</f>
        <v>0.89668948630374623</v>
      </c>
      <c r="AG100">
        <f>U100/$U$3</f>
        <v>0.11317404095410181</v>
      </c>
      <c r="AH100">
        <f>Y100/$Y$3</f>
        <v>4.9702210441361201</v>
      </c>
    </row>
    <row r="101" spans="1:34" x14ac:dyDescent="0.25">
      <c r="A101" s="38"/>
      <c r="B101" s="42" t="s">
        <v>128</v>
      </c>
      <c r="C101">
        <v>8.7266462599716474E-2</v>
      </c>
      <c r="D101">
        <v>20.833333333333332</v>
      </c>
      <c r="E101">
        <f>(1/Gam*(1/M_4^2-1/G101^2)+(Gam+1)/2/Gam*LN((M_4^2/G101^2)*(1+G101^2*(Gam-1)/2)/(1+M_4^2*(Gam-1)/2)))*D101+125</f>
        <v>148.19879586605913</v>
      </c>
      <c r="F101">
        <f>E101/3.28</f>
        <v>45.182559715261931</v>
      </c>
      <c r="G101">
        <f>G100+0.01</f>
        <v>0.78483526537382131</v>
      </c>
      <c r="H101">
        <f>(Gam/Z/Rg)^0.5*G101*(1+G101^2*(Gam-1)/2)^(-(Gam+1)/2/(Gam-1))</f>
        <v>8.9722138620459982E-2</v>
      </c>
      <c r="I101">
        <f>K101/(1+(Gam-1)/2*G101^2)^(Gam/(Gam-1))</f>
        <v>39.41532987048214</v>
      </c>
      <c r="J101" s="21">
        <f>I101*6.89476</f>
        <v>271.75923977780542</v>
      </c>
      <c r="K101">
        <f>mdot*Q101^0.5/C101/H101/gc^0.5/144</f>
        <v>59.191030556275045</v>
      </c>
      <c r="L101" s="21">
        <f>K101*6.89476</f>
        <v>408.10794983818289</v>
      </c>
      <c r="M101">
        <f>Q101/(1+(Gam-1)/2*G101^2)</f>
        <v>587.31654869879571</v>
      </c>
      <c r="N101">
        <f>M101/1.8</f>
        <v>326.28697149933095</v>
      </c>
      <c r="O101">
        <f>M101-'Example 7.3 - Pipe P1'!$C$8</f>
        <v>127.6465486987957</v>
      </c>
      <c r="P101">
        <f>N101-'Example 7.3 - Pipe P1'!$C$9</f>
        <v>53.136971499330969</v>
      </c>
      <c r="Q101">
        <f>Q100</f>
        <v>659.67000000000007</v>
      </c>
      <c r="R101">
        <f>R100</f>
        <v>366.48333333333335</v>
      </c>
      <c r="S101">
        <f>Q101-'Example 7.3 - Pipe P1'!$C$8</f>
        <v>200.00000000000006</v>
      </c>
      <c r="T101">
        <f>R101-'Example 7.3 - Pipe P1'!$C$9</f>
        <v>93.333333333333371</v>
      </c>
      <c r="U101">
        <f>I101/M101/Rg/Z*144</f>
        <v>0.18113258082659292</v>
      </c>
      <c r="V101">
        <f>U101*16.01846</f>
        <v>2.901465000667546</v>
      </c>
      <c r="W101">
        <f>(Gam*I101/U101*gc*144)^0.5</f>
        <v>1188.0428032587795</v>
      </c>
      <c r="X101">
        <f>W101/3.28</f>
        <v>362.20817172523766</v>
      </c>
      <c r="Y101">
        <f>G101*W101</f>
        <v>932.41788877106274</v>
      </c>
      <c r="Z101">
        <f>Y101/3.28</f>
        <v>284.27374657654354</v>
      </c>
      <c r="AB101">
        <f>E101/$E$122</f>
        <v>0.98796023897353646</v>
      </c>
      <c r="AC101">
        <f>G101</f>
        <v>0.78483526537382131</v>
      </c>
      <c r="AD101">
        <f>I101/$I$3</f>
        <v>0.10004971784253765</v>
      </c>
      <c r="AE101">
        <f>K101/$K$3</f>
        <v>0.14797757639068762</v>
      </c>
      <c r="AF101">
        <f>M101/$M$3</f>
        <v>0.89419919332662012</v>
      </c>
      <c r="AG101">
        <f>U101/$U$3</f>
        <v>0.11188750626169816</v>
      </c>
      <c r="AH101">
        <f>Y101/$Y$3</f>
        <v>5.0273709620835243</v>
      </c>
    </row>
    <row r="102" spans="1:34" x14ac:dyDescent="0.25">
      <c r="A102" s="38"/>
      <c r="B102" s="42" t="s">
        <v>128</v>
      </c>
      <c r="C102">
        <v>8.7266462599716474E-2</v>
      </c>
      <c r="D102">
        <v>20.833333333333332</v>
      </c>
      <c r="E102">
        <f>(1/Gam*(1/M_4^2-1/G102^2)+(Gam+1)/2/Gam*LN((M_4^2/G102^2)*(1+G102^2*(Gam-1)/2)/(1+M_4^2*(Gam-1)/2)))*D102+125</f>
        <v>148.40084259125231</v>
      </c>
      <c r="F102">
        <f>E102/3.28</f>
        <v>45.24415932660132</v>
      </c>
      <c r="G102">
        <f>G101+0.01</f>
        <v>0.79483526537382132</v>
      </c>
      <c r="H102">
        <f>(Gam/Z/Rg)^0.5*G102*(1+G102^2*(Gam-1)/2)^(-(Gam+1)/2/(Gam-1))</f>
        <v>9.0102865471045637E-2</v>
      </c>
      <c r="I102">
        <f>K102/(1+(Gam-1)/2*G102^2)^(Gam/(Gam-1))</f>
        <v>38.86481531081558</v>
      </c>
      <c r="J102" s="21">
        <f>I102*6.89476</f>
        <v>267.96357401239879</v>
      </c>
      <c r="K102">
        <f>mdot*Q102^0.5/C102/H102/gc^0.5/144</f>
        <v>58.94092070095806</v>
      </c>
      <c r="L102" s="21">
        <f>K102*6.89476</f>
        <v>406.3835024121376</v>
      </c>
      <c r="M102">
        <f>Q102/(1+(Gam-1)/2*G102^2)</f>
        <v>585.66916647074868</v>
      </c>
      <c r="N102">
        <f>M102/1.8</f>
        <v>325.37175915041593</v>
      </c>
      <c r="O102">
        <f>M102-'Example 7.3 - Pipe P1'!$C$8</f>
        <v>125.99916647074866</v>
      </c>
      <c r="P102">
        <f>N102-'Example 7.3 - Pipe P1'!$C$9</f>
        <v>52.221759150415949</v>
      </c>
      <c r="Q102">
        <f>Q101</f>
        <v>659.67000000000007</v>
      </c>
      <c r="R102">
        <f>R101</f>
        <v>366.48333333333335</v>
      </c>
      <c r="S102">
        <f>Q102-'Example 7.3 - Pipe P1'!$C$8</f>
        <v>200.00000000000006</v>
      </c>
      <c r="T102">
        <f>R102-'Example 7.3 - Pipe P1'!$C$9</f>
        <v>93.333333333333371</v>
      </c>
      <c r="U102">
        <f>I102/M102/Rg/Z*144</f>
        <v>0.17910507642566567</v>
      </c>
      <c r="V102">
        <f>U102*16.01846</f>
        <v>2.8689875025214686</v>
      </c>
      <c r="W102">
        <f>(Gam*I102/U102*gc*144)^0.5</f>
        <v>1186.3754443552054</v>
      </c>
      <c r="X102">
        <f>W102/3.28</f>
        <v>361.69983059609922</v>
      </c>
      <c r="Y102">
        <f>G102*W102</f>
        <v>942.97304114705491</v>
      </c>
      <c r="Z102">
        <f>Y102/3.28</f>
        <v>287.49178083751679</v>
      </c>
      <c r="AB102">
        <f>E102/$E$122</f>
        <v>0.98930717387769107</v>
      </c>
      <c r="AC102">
        <f>G102</f>
        <v>0.79483526537382132</v>
      </c>
      <c r="AD102">
        <f>I102/$I$3</f>
        <v>9.8652321790193662E-2</v>
      </c>
      <c r="AE102">
        <f>K102/$K$3</f>
        <v>0.14735230175239514</v>
      </c>
      <c r="AF102">
        <f>M102/$M$3</f>
        <v>0.89169102654214261</v>
      </c>
      <c r="AG102">
        <f>U102/$U$3</f>
        <v>0.11063509540154735</v>
      </c>
      <c r="AH102">
        <f>Y102/$Y$3</f>
        <v>5.0842817820007289</v>
      </c>
    </row>
    <row r="103" spans="1:34" x14ac:dyDescent="0.25">
      <c r="A103" s="38"/>
      <c r="B103" s="42" t="s">
        <v>128</v>
      </c>
      <c r="C103">
        <v>8.7266462599716474E-2</v>
      </c>
      <c r="D103">
        <v>20.833333333333332</v>
      </c>
      <c r="E103">
        <f>(1/Gam*(1/M_4^2-1/G103^2)+(Gam+1)/2/Gam*LN((M_4^2/G103^2)*(1+G103^2*(Gam-1)/2)/(1+M_4^2*(Gam-1)/2)))*D103+125</f>
        <v>148.58665846832898</v>
      </c>
      <c r="F103">
        <f>E103/3.28</f>
        <v>45.300810508636886</v>
      </c>
      <c r="G103">
        <f>G102+0.01</f>
        <v>0.80483526537382133</v>
      </c>
      <c r="H103">
        <f>(Gam/Z/Rg)^0.5*G103*(1+G103^2*(Gam-1)/2)^(-(Gam+1)/2/(Gam-1))</f>
        <v>9.0463409433855863E-2</v>
      </c>
      <c r="I103">
        <f>K103/(1+(Gam-1)/2*G103^2)^(Gam/(Gam-1))</f>
        <v>38.327528763138531</v>
      </c>
      <c r="J103" s="21">
        <f>I103*6.89476</f>
        <v>264.25911221493703</v>
      </c>
      <c r="K103">
        <f>mdot*Q103^0.5/C103/H103/gc^0.5/144</f>
        <v>58.706010329414461</v>
      </c>
      <c r="L103" s="21">
        <f>K103*6.89476</f>
        <v>404.76385177883361</v>
      </c>
      <c r="M103">
        <f>Q103/(1+(Gam-1)/2*G103^2)</f>
        <v>584.01031811525957</v>
      </c>
      <c r="N103">
        <f>M103/1.8</f>
        <v>324.45017673069975</v>
      </c>
      <c r="O103">
        <f>M103-'Example 7.3 - Pipe P1'!$C$8</f>
        <v>124.34031811525955</v>
      </c>
      <c r="P103">
        <f>N103-'Example 7.3 - Pipe P1'!$C$9</f>
        <v>51.300176730699775</v>
      </c>
      <c r="Q103">
        <f>Q102</f>
        <v>659.67000000000007</v>
      </c>
      <c r="R103">
        <f>R102</f>
        <v>366.48333333333335</v>
      </c>
      <c r="S103">
        <f>Q103-'Example 7.3 - Pipe P1'!$C$8</f>
        <v>200.00000000000006</v>
      </c>
      <c r="T103">
        <f>R103-'Example 7.3 - Pipe P1'!$C$9</f>
        <v>93.333333333333371</v>
      </c>
      <c r="U103">
        <f>I103/M103/Rg/Z*144</f>
        <v>0.17713074353677674</v>
      </c>
      <c r="V103">
        <f>U103*16.01846</f>
        <v>2.8373617301141167</v>
      </c>
      <c r="W103">
        <f>(Gam*I103/U103*gc*144)^0.5</f>
        <v>1184.6941090582245</v>
      </c>
      <c r="X103">
        <f>W103/3.28</f>
        <v>361.18722837140996</v>
      </c>
      <c r="Y103">
        <f>G103*W103</f>
        <v>953.48359765067892</v>
      </c>
      <c r="Z103">
        <f>Y103/3.28</f>
        <v>290.69621879593871</v>
      </c>
      <c r="AB103">
        <f>E103/$E$122</f>
        <v>0.99054590660320974</v>
      </c>
      <c r="AC103">
        <f>G103</f>
        <v>0.80483526537382133</v>
      </c>
      <c r="AD103">
        <f>I103/$I$3</f>
        <v>9.7288503000085375E-2</v>
      </c>
      <c r="AE103">
        <f>K103/$K$3</f>
        <v>0.14676502582353615</v>
      </c>
      <c r="AF103">
        <f>M103/$M$3</f>
        <v>0.88916540238832664</v>
      </c>
      <c r="AG103">
        <f>U103/$U$3</f>
        <v>0.10941552914538211</v>
      </c>
      <c r="AH103">
        <f>Y103/$Y$3</f>
        <v>5.140952151797368</v>
      </c>
    </row>
    <row r="104" spans="1:34" x14ac:dyDescent="0.25">
      <c r="A104" s="38"/>
      <c r="B104" s="42" t="s">
        <v>128</v>
      </c>
      <c r="C104">
        <v>8.7266462599716474E-2</v>
      </c>
      <c r="D104">
        <v>20.833333333333332</v>
      </c>
      <c r="E104">
        <f>(1/Gam*(1/M_4^2-1/G104^2)+(Gam+1)/2/Gam*LN((M_4^2/G104^2)*(1+G104^2*(Gam-1)/2)/(1+M_4^2*(Gam-1)/2)))*D104+125</f>
        <v>148.75719097214969</v>
      </c>
      <c r="F104">
        <f>E104/3.28</f>
        <v>45.352802125655394</v>
      </c>
      <c r="G104">
        <f>G103+0.01</f>
        <v>0.81483526537382134</v>
      </c>
      <c r="H104">
        <f>(Gam/Z/Rg)^0.5*G104*(1+G104^2*(Gam-1)/2)^(-(Gam+1)/2/(Gam-1))</f>
        <v>9.080394045823198E-2</v>
      </c>
      <c r="I104">
        <f>K104/(1+(Gam-1)/2*G104^2)^(Gam/(Gam-1))</f>
        <v>37.802990161084985</v>
      </c>
      <c r="J104" s="21">
        <f>I104*6.89476</f>
        <v>260.64254444304231</v>
      </c>
      <c r="K104">
        <f>mdot*Q104^0.5/C104/H104/gc^0.5/144</f>
        <v>58.485852286342464</v>
      </c>
      <c r="L104" s="21">
        <f>K104*6.89476</f>
        <v>403.24591490978253</v>
      </c>
      <c r="M104">
        <f>Q104/(1+(Gam-1)/2*G104^2)</f>
        <v>582.34027651044778</v>
      </c>
      <c r="N104">
        <f>M104/1.8</f>
        <v>323.52237583913762</v>
      </c>
      <c r="O104">
        <f>M104-'Example 7.3 - Pipe P1'!$C$8</f>
        <v>122.67027651044776</v>
      </c>
      <c r="P104">
        <f>N104-'Example 7.3 - Pipe P1'!$C$9</f>
        <v>50.372375839137646</v>
      </c>
      <c r="Q104">
        <f>Q103</f>
        <v>659.67000000000007</v>
      </c>
      <c r="R104">
        <f>R103</f>
        <v>366.48333333333335</v>
      </c>
      <c r="S104">
        <f>Q104-'Example 7.3 - Pipe P1'!$C$8</f>
        <v>200.00000000000006</v>
      </c>
      <c r="T104">
        <f>R104-'Example 7.3 - Pipe P1'!$C$9</f>
        <v>93.333333333333371</v>
      </c>
      <c r="U104">
        <f>I104/M104/Rg/Z*144</f>
        <v>0.17520761283762867</v>
      </c>
      <c r="V104">
        <f>U104*16.01846</f>
        <v>2.8065561379350417</v>
      </c>
      <c r="W104">
        <f>(Gam*I104/U104*gc*144)^0.5</f>
        <v>1182.9990149461132</v>
      </c>
      <c r="X104">
        <f>W104/3.28</f>
        <v>360.67043138601014</v>
      </c>
      <c r="Y104">
        <f>G104*W104</f>
        <v>963.94931628058544</v>
      </c>
      <c r="Z104">
        <f>Y104/3.28</f>
        <v>293.88698667091023</v>
      </c>
      <c r="AB104">
        <f>E104/$E$122</f>
        <v>0.99168275344628209</v>
      </c>
      <c r="AC104">
        <f>G104</f>
        <v>0.81483526537382134</v>
      </c>
      <c r="AD104">
        <f>I104/$I$3</f>
        <v>9.5957042898002651E-2</v>
      </c>
      <c r="AE104">
        <f>K104/$K$3</f>
        <v>0.14621463071585616</v>
      </c>
      <c r="AF104">
        <f>M104/$M$3</f>
        <v>0.88662273632663791</v>
      </c>
      <c r="AG104">
        <f>U104/$U$3</f>
        <v>0.10822759102204145</v>
      </c>
      <c r="AH104">
        <f>Y104/$Y$3</f>
        <v>5.1973807666608982</v>
      </c>
    </row>
    <row r="105" spans="1:34" x14ac:dyDescent="0.25">
      <c r="A105" s="38"/>
      <c r="B105" s="42" t="s">
        <v>128</v>
      </c>
      <c r="C105">
        <v>8.7266462599716474E-2</v>
      </c>
      <c r="D105">
        <v>20.833333333333332</v>
      </c>
      <c r="E105">
        <f>(1/Gam*(1/M_4^2-1/G105^2)+(Gam+1)/2/Gam*LN((M_4^2/G105^2)*(1+G105^2*(Gam-1)/2)/(1+M_4^2*(Gam-1)/2)))*D105+125</f>
        <v>148.91332690282894</v>
      </c>
      <c r="F105">
        <f>E105/3.28</f>
        <v>45.400404543545413</v>
      </c>
      <c r="G105">
        <f>G104+0.01</f>
        <v>0.82483526537382135</v>
      </c>
      <c r="H105">
        <f>(Gam/Z/Rg)^0.5*G105*(1+G105^2*(Gam-1)/2)^(-(Gam+1)/2/(Gam-1))</f>
        <v>9.1124635448710994E-2</v>
      </c>
      <c r="I105">
        <f>K105/(1+(Gam-1)/2*G105^2)^(Gam/(Gam-1))</f>
        <v>37.290742719577366</v>
      </c>
      <c r="J105" s="21">
        <f>I105*6.89476</f>
        <v>257.11072127323325</v>
      </c>
      <c r="K105">
        <f>mdot*Q105^0.5/C105/H105/gc^0.5/144</f>
        <v>58.280022987275679</v>
      </c>
      <c r="L105" s="21">
        <f>K105*6.89476</f>
        <v>401.82677129174886</v>
      </c>
      <c r="M105">
        <f>Q105/(1+(Gam-1)/2*G105^2)</f>
        <v>580.6593138059817</v>
      </c>
      <c r="N105">
        <f>M105/1.8</f>
        <v>322.58850766998984</v>
      </c>
      <c r="O105">
        <f>M105-'Example 7.3 - Pipe P1'!$C$8</f>
        <v>120.98931380598168</v>
      </c>
      <c r="P105">
        <f>N105-'Example 7.3 - Pipe P1'!$C$9</f>
        <v>49.43850766998986</v>
      </c>
      <c r="Q105">
        <f>Q104</f>
        <v>659.67000000000007</v>
      </c>
      <c r="R105">
        <f>R104</f>
        <v>366.48333333333335</v>
      </c>
      <c r="S105">
        <f>Q105-'Example 7.3 - Pipe P1'!$C$8</f>
        <v>200.00000000000006</v>
      </c>
      <c r="T105">
        <f>R105-'Example 7.3 - Pipe P1'!$C$9</f>
        <v>93.333333333333371</v>
      </c>
      <c r="U105">
        <f>I105/M105/Rg/Z*144</f>
        <v>0.17333381044590104</v>
      </c>
      <c r="V105">
        <f>U105*16.01846</f>
        <v>2.7765407092752481</v>
      </c>
      <c r="W105">
        <f>(Gam*I105/U105*gc*144)^0.5</f>
        <v>1181.2903796191622</v>
      </c>
      <c r="X105">
        <f>W105/3.28</f>
        <v>360.14950598145191</v>
      </c>
      <c r="Y105">
        <f>G105*W105</f>
        <v>974.36996375671379</v>
      </c>
      <c r="Z105">
        <f>Y105/3.28</f>
        <v>297.06401334046154</v>
      </c>
      <c r="AB105">
        <f>E105/$E$122</f>
        <v>0.99272362621778321</v>
      </c>
      <c r="AC105">
        <f>G105</f>
        <v>0.82483526537382135</v>
      </c>
      <c r="AD105">
        <f>I105/$I$3</f>
        <v>9.4656782005684711E-2</v>
      </c>
      <c r="AE105">
        <f>K105/$K$3</f>
        <v>0.1457000574681892</v>
      </c>
      <c r="AF105">
        <f>M105/$M$3</f>
        <v>0.88406344270946347</v>
      </c>
      <c r="AG105">
        <f>U105/$U$3</f>
        <v>0.10707012351464518</v>
      </c>
      <c r="AH105">
        <f>Y105/$Y$3</f>
        <v>5.2535663688018497</v>
      </c>
    </row>
    <row r="106" spans="1:34" x14ac:dyDescent="0.25">
      <c r="A106" s="38"/>
      <c r="B106" s="42" t="s">
        <v>128</v>
      </c>
      <c r="C106">
        <v>8.7266462599716474E-2</v>
      </c>
      <c r="D106">
        <v>20.833333333333332</v>
      </c>
      <c r="E106">
        <f>(1/Gam*(1/M_4^2-1/G106^2)+(Gam+1)/2/Gam*LN((M_4^2/G106^2)*(1+G106^2*(Gam-1)/2)/(1+M_4^2*(Gam-1)/2)))*D106+125</f>
        <v>149.05589683903602</v>
      </c>
      <c r="F106">
        <f>E106/3.28</f>
        <v>45.443870987510984</v>
      </c>
      <c r="G106">
        <f>G105+0.01</f>
        <v>0.83483526537382136</v>
      </c>
      <c r="H106">
        <f>(Gam/Z/Rg)^0.5*G106*(1+G106^2*(Gam-1)/2)^(-(Gam+1)/2/(Gam-1))</f>
        <v>9.1425678003157609E-2</v>
      </c>
      <c r="I106">
        <f>K106/(1+(Gam-1)/2*G106^2)^(Gam/(Gam-1))</f>
        <v>36.790351538546169</v>
      </c>
      <c r="J106" s="21">
        <f>I106*6.89476</f>
        <v>253.66064417390658</v>
      </c>
      <c r="K106">
        <f>mdot*Q106^0.5/C106/H106/gc^0.5/144</f>
        <v>58.088121025195704</v>
      </c>
      <c r="L106" s="21">
        <f>K106*6.89476</f>
        <v>400.50365331967834</v>
      </c>
      <c r="M106">
        <f>Q106/(1+(Gam-1)/2*G106^2)</f>
        <v>578.96770133789255</v>
      </c>
      <c r="N106">
        <f>M106/1.8</f>
        <v>321.64872296549584</v>
      </c>
      <c r="O106">
        <f>M106-'Example 7.3 - Pipe P1'!$C$8</f>
        <v>119.29770133789253</v>
      </c>
      <c r="P106">
        <f>N106-'Example 7.3 - Pipe P1'!$C$9</f>
        <v>48.498722965495858</v>
      </c>
      <c r="Q106">
        <f>Q105</f>
        <v>659.67000000000007</v>
      </c>
      <c r="R106">
        <f>R105</f>
        <v>366.48333333333335</v>
      </c>
      <c r="S106">
        <f>Q106-'Example 7.3 - Pipe P1'!$C$8</f>
        <v>200.00000000000006</v>
      </c>
      <c r="T106">
        <f>R106-'Example 7.3 - Pipe P1'!$C$9</f>
        <v>93.333333333333371</v>
      </c>
      <c r="U106">
        <f>I106/M106/Rg/Z*144</f>
        <v>0.17150755220537425</v>
      </c>
      <c r="V106">
        <f>U106*16.01846</f>
        <v>2.7472868646996993</v>
      </c>
      <c r="W106">
        <f>(Gam*I106/U106*gc*144)^0.5</f>
        <v>1179.568420638233</v>
      </c>
      <c r="X106">
        <f>W106/3.28</f>
        <v>359.62451848726619</v>
      </c>
      <c r="Y106">
        <f>G106*W106</f>
        <v>984.7453154700986</v>
      </c>
      <c r="Z106">
        <f>Y106/3.28</f>
        <v>300.22723032624958</v>
      </c>
      <c r="AB106">
        <f>E106/$E$122</f>
        <v>0.99367406193099173</v>
      </c>
      <c r="AC106">
        <f>G106</f>
        <v>0.83483526537382136</v>
      </c>
      <c r="AD106">
        <f>I106/$I$3</f>
        <v>9.3386616396578442E-2</v>
      </c>
      <c r="AE106">
        <f>K106/$K$3</f>
        <v>0.14522030256298926</v>
      </c>
      <c r="AF106">
        <f>M106/$M$3</f>
        <v>0.88148793465041453</v>
      </c>
      <c r="AG106">
        <f>U106/$U$3</f>
        <v>0.10594202453107225</v>
      </c>
      <c r="AH106">
        <f>Y106/$Y$3</f>
        <v>5.3095077471831917</v>
      </c>
    </row>
    <row r="107" spans="1:34" x14ac:dyDescent="0.25">
      <c r="A107" s="38"/>
      <c r="B107" s="42" t="s">
        <v>128</v>
      </c>
      <c r="C107">
        <v>8.7266462599716474E-2</v>
      </c>
      <c r="D107">
        <v>20.833333333333332</v>
      </c>
      <c r="E107">
        <f>(1/Gam*(1/M_4^2-1/G107^2)+(Gam+1)/2/Gam*LN((M_4^2/G107^2)*(1+G107^2*(Gam-1)/2)/(1+M_4^2*(Gam-1)/2)))*D107+125</f>
        <v>149.18567921897656</v>
      </c>
      <c r="F107">
        <f>E107/3.28</f>
        <v>45.483438786273346</v>
      </c>
      <c r="G107">
        <f>G106+0.01</f>
        <v>0.84483526537382136</v>
      </c>
      <c r="H107">
        <f>(Gam/Z/Rg)^0.5*G107*(1+G107^2*(Gam-1)/2)^(-(Gam+1)/2/(Gam-1))</f>
        <v>9.1707258150546409E-2</v>
      </c>
      <c r="I107">
        <f>K107/(1+(Gam-1)/2*G107^2)^(Gam/(Gam-1))</f>
        <v>36.301402305843183</v>
      </c>
      <c r="J107" s="21">
        <f>I107*6.89476</f>
        <v>250.28945656223533</v>
      </c>
      <c r="K107">
        <f>mdot*Q107^0.5/C107/H107/gc^0.5/144</f>
        <v>57.909765876326659</v>
      </c>
      <c r="L107" s="21">
        <f>K107*6.89476</f>
        <v>399.27393737346199</v>
      </c>
      <c r="M107">
        <f>Q107/(1+(Gam-1)/2*G107^2)</f>
        <v>577.26570954527153</v>
      </c>
      <c r="N107">
        <f>M107/1.8</f>
        <v>320.7031719695953</v>
      </c>
      <c r="O107">
        <f>M107-'Example 7.3 - Pipe P1'!$C$8</f>
        <v>117.59570954527152</v>
      </c>
      <c r="P107">
        <f>N107-'Example 7.3 - Pipe P1'!$C$9</f>
        <v>47.553171969595326</v>
      </c>
      <c r="Q107">
        <f>Q106</f>
        <v>659.67000000000007</v>
      </c>
      <c r="R107">
        <f>R106</f>
        <v>366.48333333333335</v>
      </c>
      <c r="S107">
        <f>Q107-'Example 7.3 - Pipe P1'!$C$8</f>
        <v>200.00000000000006</v>
      </c>
      <c r="T107">
        <f>R107-'Example 7.3 - Pipe P1'!$C$9</f>
        <v>93.333333333333371</v>
      </c>
      <c r="U107">
        <f>I107/M107/Rg/Z*144</f>
        <v>0.16972713837783748</v>
      </c>
      <c r="V107">
        <f>U107*16.01846</f>
        <v>2.7187673770198546</v>
      </c>
      <c r="W107">
        <f>(Gam*I107/U107*gc*144)^0.5</f>
        <v>1177.8333554643027</v>
      </c>
      <c r="X107">
        <f>W107/3.28</f>
        <v>359.09553520253132</v>
      </c>
      <c r="Y107">
        <f>G107*W107</f>
        <v>995.07515542982264</v>
      </c>
      <c r="Z107">
        <f>Y107/3.28</f>
        <v>303.37657177738498</v>
      </c>
      <c r="AB107">
        <f>E107/$E$122</f>
        <v>0.99453925000725973</v>
      </c>
      <c r="AC107">
        <f>G107</f>
        <v>0.84483526537382136</v>
      </c>
      <c r="AD107">
        <f>I107/$I$3</f>
        <v>9.2145494403384251E-2</v>
      </c>
      <c r="AE107">
        <f>K107/$K$3</f>
        <v>0.14477441469081664</v>
      </c>
      <c r="AF107">
        <f>M107/$M$3</f>
        <v>0.8788966238974959</v>
      </c>
      <c r="AG107">
        <f>U107/$U$3</f>
        <v>0.10484224412509635</v>
      </c>
      <c r="AH107">
        <f>Y107/$Y$3</f>
        <v>5.36520373723432</v>
      </c>
    </row>
    <row r="108" spans="1:34" x14ac:dyDescent="0.25">
      <c r="A108" s="38"/>
      <c r="B108" s="42" t="s">
        <v>128</v>
      </c>
      <c r="C108">
        <v>8.7266462599716474E-2</v>
      </c>
      <c r="D108">
        <v>20.833333333333332</v>
      </c>
      <c r="E108">
        <f>(1/Gam*(1/M_4^2-1/G108^2)+(Gam+1)/2/Gam*LN((M_4^2/G108^2)*(1+G108^2*(Gam-1)/2)/(1+M_4^2*(Gam-1)/2)))*D108+125</f>
        <v>149.30340408401904</v>
      </c>
      <c r="F108">
        <f>E108/3.28</f>
        <v>45.519330513420442</v>
      </c>
      <c r="G108">
        <f>G107+0.01</f>
        <v>0.85483526537382137</v>
      </c>
      <c r="H108">
        <f>(Gam/Z/Rg)^0.5*G108*(1+G108^2*(Gam-1)/2)^(-(Gam+1)/2/(Gam-1))</f>
        <v>9.1969572088723597E-2</v>
      </c>
      <c r="I108">
        <f>K108/(1+(Gam-1)/2*G108^2)^(Gam/(Gam-1))</f>
        <v>35.823500091226428</v>
      </c>
      <c r="J108" s="21">
        <f>I108*6.89476</f>
        <v>246.99443548898432</v>
      </c>
      <c r="K108">
        <f>mdot*Q108^0.5/C108/H108/gc^0.5/144</f>
        <v>57.744596696988914</v>
      </c>
      <c r="L108" s="21">
        <f>K108*6.89476</f>
        <v>398.1351355225313</v>
      </c>
      <c r="M108">
        <f>Q108/(1+(Gam-1)/2*G108^2)</f>
        <v>575.55360788887697</v>
      </c>
      <c r="N108">
        <f>M108/1.8</f>
        <v>319.7520043827094</v>
      </c>
      <c r="O108">
        <f>M108-'Example 7.3 - Pipe P1'!$C$8</f>
        <v>115.88360788887695</v>
      </c>
      <c r="P108">
        <f>N108-'Example 7.3 - Pipe P1'!$C$9</f>
        <v>46.602004382709424</v>
      </c>
      <c r="Q108">
        <f>Q107</f>
        <v>659.67000000000007</v>
      </c>
      <c r="R108">
        <f>R107</f>
        <v>366.48333333333335</v>
      </c>
      <c r="S108">
        <f>Q108-'Example 7.3 - Pipe P1'!$C$8</f>
        <v>200.00000000000006</v>
      </c>
      <c r="T108">
        <f>R108-'Example 7.3 - Pipe P1'!$C$9</f>
        <v>93.333333333333371</v>
      </c>
      <c r="U108">
        <f>I108/M108/Rg/Z*144</f>
        <v>0.16799094870755271</v>
      </c>
      <c r="V108">
        <f>U108*16.01846</f>
        <v>2.6909562922339849</v>
      </c>
      <c r="W108">
        <f>(Gam*I108/U108*gc*144)^0.5</f>
        <v>1176.0854013990074</v>
      </c>
      <c r="X108">
        <f>W108/3.28</f>
        <v>358.56262237774621</v>
      </c>
      <c r="Y108">
        <f>G108*W108</f>
        <v>1005.3592762071977</v>
      </c>
      <c r="Z108">
        <f>Y108/3.28</f>
        <v>306.51197445341393</v>
      </c>
      <c r="AB108">
        <f>E108/$E$122</f>
        <v>0.9953240572327221</v>
      </c>
      <c r="AC108">
        <f>G108</f>
        <v>0.85483526537382137</v>
      </c>
      <c r="AD108">
        <f>I108/$I$3</f>
        <v>9.0932413556773409E-2</v>
      </c>
      <c r="AE108">
        <f>K108/$K$3</f>
        <v>0.14436149174247229</v>
      </c>
      <c r="AF108">
        <f>M108/$M$3</f>
        <v>0.87628992070918454</v>
      </c>
      <c r="AG108">
        <f>U108/$U$3</f>
        <v>0.10376978144765316</v>
      </c>
      <c r="AH108">
        <f>Y108/$Y$3</f>
        <v>5.4206532205500881</v>
      </c>
    </row>
    <row r="109" spans="1:34" x14ac:dyDescent="0.25">
      <c r="A109" s="38"/>
      <c r="B109" s="42" t="s">
        <v>128</v>
      </c>
      <c r="C109">
        <v>8.7266462599716474E-2</v>
      </c>
      <c r="D109">
        <v>20.833333333333332</v>
      </c>
      <c r="E109">
        <f>(1/Gam*(1/M_4^2-1/G109^2)+(Gam+1)/2/Gam*LN((M_4^2/G109^2)*(1+G109^2*(Gam-1)/2)/(1+M_4^2*(Gam-1)/2)))*D109+125</f>
        <v>149.40975651629097</v>
      </c>
      <c r="F109">
        <f>E109/3.28</f>
        <v>45.551755035454569</v>
      </c>
      <c r="G109">
        <f>G108+0.01</f>
        <v>0.86483526537382138</v>
      </c>
      <c r="H109">
        <f>(Gam/Z/Rg)^0.5*G109*(1+G109^2*(Gam-1)/2)^(-(Gam+1)/2/(Gam-1))</f>
        <v>9.2212821922465812E-2</v>
      </c>
      <c r="I109">
        <f>K109/(1+(Gam-1)/2*G109^2)^(Gam/(Gam-1))</f>
        <v>35.356268224045927</v>
      </c>
      <c r="J109" s="21">
        <f>I109*6.89476</f>
        <v>243.77298390042287</v>
      </c>
      <c r="K109">
        <f>mdot*Q109^0.5/C109/H109/gc^0.5/144</f>
        <v>57.592271204142975</v>
      </c>
      <c r="L109" s="21">
        <f>K109*6.89476</f>
        <v>397.08488780747678</v>
      </c>
      <c r="M109">
        <f>Q109/(1+(Gam-1)/2*G109^2)</f>
        <v>573.83166477166856</v>
      </c>
      <c r="N109">
        <f>M109/1.8</f>
        <v>318.79536931759361</v>
      </c>
      <c r="O109">
        <f>M109-'Example 7.3 - Pipe P1'!$C$8</f>
        <v>114.16166477166854</v>
      </c>
      <c r="P109">
        <f>N109-'Example 7.3 - Pipe P1'!$C$9</f>
        <v>45.645369317593634</v>
      </c>
      <c r="Q109">
        <f>Q108</f>
        <v>659.67000000000007</v>
      </c>
      <c r="R109">
        <f>R108</f>
        <v>366.48333333333335</v>
      </c>
      <c r="S109">
        <f>Q109-'Example 7.3 - Pipe P1'!$C$8</f>
        <v>200.00000000000006</v>
      </c>
      <c r="T109">
        <f>R109-'Example 7.3 - Pipe P1'!$C$9</f>
        <v>93.333333333333371</v>
      </c>
      <c r="U109">
        <f>I109/M109/Rg/Z*144</f>
        <v>0.16629743782811959</v>
      </c>
      <c r="V109">
        <f>U109*16.01846</f>
        <v>2.6638288559522207</v>
      </c>
      <c r="W109">
        <f>(Gam*I109/U109*gc*144)^0.5</f>
        <v>1174.3247755262032</v>
      </c>
      <c r="X109">
        <f>W109/3.28</f>
        <v>358.02584619701321</v>
      </c>
      <c r="Y109">
        <f>G109*W109</f>
        <v>1015.5974788772572</v>
      </c>
      <c r="Z109">
        <f>Y109/3.28</f>
        <v>309.63337770648087</v>
      </c>
      <c r="AB109">
        <f>E109/$E$122</f>
        <v>0.99603305067486692</v>
      </c>
      <c r="AC109">
        <f>G109</f>
        <v>0.86483526537382138</v>
      </c>
      <c r="AD109">
        <f>I109/$I$3</f>
        <v>8.9746417736566941E-2</v>
      </c>
      <c r="AE109">
        <f>K109/$K$3</f>
        <v>0.14398067801035744</v>
      </c>
      <c r="AF109">
        <f>M109/$M$3</f>
        <v>0.87366823373344127</v>
      </c>
      <c r="AG109">
        <f>U109/$U$3</f>
        <v>0.10272368190961241</v>
      </c>
      <c r="AH109">
        <f>Y109/$Y$3</f>
        <v>5.4758551245753564</v>
      </c>
    </row>
    <row r="110" spans="1:34" x14ac:dyDescent="0.25">
      <c r="A110" s="38"/>
      <c r="B110" s="42" t="s">
        <v>128</v>
      </c>
      <c r="C110">
        <v>8.7266462599716474E-2</v>
      </c>
      <c r="D110">
        <v>20.833333333333332</v>
      </c>
      <c r="E110">
        <f>(1/Gam*(1/M_4^2-1/G110^2)+(Gam+1)/2/Gam*LN((M_4^2/G110^2)*(1+G110^2*(Gam-1)/2)/(1+M_4^2*(Gam-1)/2)))*D110+125</f>
        <v>149.50537979834451</v>
      </c>
      <c r="F110">
        <f>E110/3.28</f>
        <v>45.580908475105034</v>
      </c>
      <c r="G110">
        <f>G109+0.01</f>
        <v>0.87483526537382139</v>
      </c>
      <c r="H110">
        <f>(Gam/Z/Rg)^0.5*G110*(1+G110^2*(Gam-1)/2)^(-(Gam+1)/2/(Gam-1))</f>
        <v>9.2437215402146833E-2</v>
      </c>
      <c r="I110">
        <f>K110/(1+(Gam-1)/2*G110^2)^(Gam/(Gam-1))</f>
        <v>34.899347247933612</v>
      </c>
      <c r="J110" s="21">
        <f>I110*6.89476</f>
        <v>240.62262343116274</v>
      </c>
      <c r="K110">
        <f>mdot*Q110^0.5/C110/H110/gc^0.5/144</f>
        <v>57.452464632925881</v>
      </c>
      <c r="L110" s="21">
        <f>K110*6.89476</f>
        <v>396.12095505251204</v>
      </c>
      <c r="M110">
        <f>Q110/(1+(Gam-1)/2*G110^2)</f>
        <v>572.10014746129161</v>
      </c>
      <c r="N110">
        <f>M110/1.8</f>
        <v>317.8334152562731</v>
      </c>
      <c r="O110">
        <f>M110-'Example 7.3 - Pipe P1'!$C$8</f>
        <v>112.4301474612916</v>
      </c>
      <c r="P110">
        <f>N110-'Example 7.3 - Pipe P1'!$C$9</f>
        <v>44.683415256273122</v>
      </c>
      <c r="Q110">
        <f>Q109</f>
        <v>659.67000000000007</v>
      </c>
      <c r="R110">
        <f>R109</f>
        <v>366.48333333333335</v>
      </c>
      <c r="S110">
        <f>Q110-'Example 7.3 - Pipe P1'!$C$8</f>
        <v>200.00000000000006</v>
      </c>
      <c r="T110">
        <f>R110-'Example 7.3 - Pipe P1'!$C$9</f>
        <v>93.333333333333371</v>
      </c>
      <c r="U110">
        <f>I110/M110/Rg/Z*144</f>
        <v>0.16464513098434228</v>
      </c>
      <c r="V110">
        <f>U110*16.01846</f>
        <v>2.6373614448674476</v>
      </c>
      <c r="W110">
        <f>(Gam*I110/U110*gc*144)^0.5</f>
        <v>1172.5516946545708</v>
      </c>
      <c r="X110">
        <f>W110/3.28</f>
        <v>357.48527276053989</v>
      </c>
      <c r="Y110">
        <f>G110*W110</f>
        <v>1025.7895729576555</v>
      </c>
      <c r="Z110">
        <f>Y110/3.28</f>
        <v>312.74072346269986</v>
      </c>
      <c r="AB110">
        <f>E110/$E$122</f>
        <v>0.99667051874629731</v>
      </c>
      <c r="AC110">
        <f>G110</f>
        <v>0.87483526537382139</v>
      </c>
      <c r="AD110">
        <f>I110/$I$3</f>
        <v>8.8586594518377665E-2</v>
      </c>
      <c r="AE110">
        <f>K110/$K$3</f>
        <v>0.1436311615823147</v>
      </c>
      <c r="AF110">
        <f>M110/$M$3</f>
        <v>0.87103196988969223</v>
      </c>
      <c r="AG110">
        <f>U110/$U$3</f>
        <v>0.10170303453912985</v>
      </c>
      <c r="AH110">
        <f>Y110/$Y$3</f>
        <v>5.5308084222755456</v>
      </c>
    </row>
    <row r="111" spans="1:34" x14ac:dyDescent="0.25">
      <c r="A111" s="38"/>
      <c r="B111" s="42" t="s">
        <v>128</v>
      </c>
      <c r="C111">
        <v>8.7266462599716474E-2</v>
      </c>
      <c r="D111">
        <v>20.833333333333332</v>
      </c>
      <c r="E111">
        <f>(1/Gam*(1/M_4^2-1/G111^2)+(Gam+1)/2/Gam*LN((M_4^2/G111^2)*(1+G111^2*(Gam-1)/2)/(1+M_4^2*(Gam-1)/2)))*D111+125</f>
        <v>149.59087832013114</v>
      </c>
      <c r="F111">
        <f>E111/3.28</f>
        <v>45.606975097600959</v>
      </c>
      <c r="G111">
        <f>G110+0.01</f>
        <v>0.8848352653738214</v>
      </c>
      <c r="H111">
        <f>(Gam/Z/Rg)^0.5*G111*(1+G111^2*(Gam-1)/2)^(-(Gam+1)/2/(Gam-1))</f>
        <v>9.2642965663309984E-2</v>
      </c>
      <c r="I111">
        <f>K111/(1+(Gam-1)/2*G111^2)^(Gam/(Gam-1))</f>
        <v>34.45239394640582</v>
      </c>
      <c r="J111" s="21">
        <f>I111*6.89476</f>
        <v>237.54098768592098</v>
      </c>
      <c r="K111">
        <f>mdot*Q111^0.5/C111/H111/gc^0.5/144</f>
        <v>57.324868765090095</v>
      </c>
      <c r="L111" s="21">
        <f>K111*6.89476</f>
        <v>395.24121216679259</v>
      </c>
      <c r="M111">
        <f>Q111/(1+(Gam-1)/2*G111^2)</f>
        <v>570.35932201452374</v>
      </c>
      <c r="N111">
        <f>M111/1.8</f>
        <v>316.86629000806875</v>
      </c>
      <c r="O111">
        <f>M111-'Example 7.3 - Pipe P1'!$C$8</f>
        <v>110.68932201452373</v>
      </c>
      <c r="P111">
        <f>N111-'Example 7.3 - Pipe P1'!$C$9</f>
        <v>43.716290008068768</v>
      </c>
      <c r="Q111">
        <f>Q110</f>
        <v>659.67000000000007</v>
      </c>
      <c r="R111">
        <f>R110</f>
        <v>366.48333333333335</v>
      </c>
      <c r="S111">
        <f>Q111-'Example 7.3 - Pipe P1'!$C$8</f>
        <v>200.00000000000006</v>
      </c>
      <c r="T111">
        <f>R111-'Example 7.3 - Pipe P1'!$C$9</f>
        <v>93.333333333333371</v>
      </c>
      <c r="U111">
        <f>I111/M111/Rg/Z*144</f>
        <v>0.16303262004417862</v>
      </c>
      <c r="V111">
        <f>U111*16.01846</f>
        <v>2.6115315028728738</v>
      </c>
      <c r="W111">
        <f>(Gam*I111/U111*gc*144)^0.5</f>
        <v>1170.7663752612664</v>
      </c>
      <c r="X111">
        <f>W111/3.28</f>
        <v>356.94096806745927</v>
      </c>
      <c r="Y111">
        <f>G111*W111</f>
        <v>1035.9353763450497</v>
      </c>
      <c r="Z111">
        <f>Y111/3.28</f>
        <v>315.83395620275905</v>
      </c>
      <c r="AB111">
        <f>E111/$E$122</f>
        <v>0.99724049058393993</v>
      </c>
      <c r="AC111">
        <f>G111</f>
        <v>0.8848352653738214</v>
      </c>
      <c r="AD111">
        <f>I111/$I$3</f>
        <v>8.7452072700252917E-2</v>
      </c>
      <c r="AE111">
        <f>K111/$K$3</f>
        <v>0.14331217191272524</v>
      </c>
      <c r="AF111">
        <f>M111/$M$3</f>
        <v>0.86838153425379705</v>
      </c>
      <c r="AG111">
        <f>U111/$U$3</f>
        <v>0.10070696951818621</v>
      </c>
      <c r="AH111">
        <f>Y111/$Y$3</f>
        <v>5.5855121317936263</v>
      </c>
    </row>
    <row r="112" spans="1:34" x14ac:dyDescent="0.25">
      <c r="A112" s="38"/>
      <c r="B112" s="42" t="s">
        <v>128</v>
      </c>
      <c r="C112">
        <v>8.7266462599716474E-2</v>
      </c>
      <c r="D112">
        <v>20.833333333333332</v>
      </c>
      <c r="E112">
        <f>(1/Gam*(1/M_4^2-1/G112^2)+(Gam+1)/2/Gam*LN((M_4^2/G112^2)*(1+G112^2*(Gam-1)/2)/(1+M_4^2*(Gam-1)/2)))*D112+125</f>
        <v>149.66682025598288</v>
      </c>
      <c r="F112">
        <f>E112/3.28</f>
        <v>45.630128126824054</v>
      </c>
      <c r="G112">
        <f>G111+0.01</f>
        <v>0.89483526537382141</v>
      </c>
      <c r="H112">
        <f>(Gam/Z/Rg)^0.5*G112*(1+G112^2*(Gam-1)/2)^(-(Gam+1)/2/(Gam-1))</f>
        <v>9.2830290967437168E-2</v>
      </c>
      <c r="I112">
        <f>K112/(1+(Gam-1)/2*G112^2)^(Gam/(Gam-1))</f>
        <v>34.015080433831663</v>
      </c>
      <c r="J112" s="21">
        <f>I112*6.89476</f>
        <v>234.52581597196519</v>
      </c>
      <c r="K112">
        <f>mdot*Q112^0.5/C112/H112/gc^0.5/144</f>
        <v>57.209191022797569</v>
      </c>
      <c r="L112" s="21">
        <f>K112*6.89476</f>
        <v>394.44364189634376</v>
      </c>
      <c r="M112">
        <f>Q112/(1+(Gam-1)/2*G112^2)</f>
        <v>568.6094532036999</v>
      </c>
      <c r="N112">
        <f>M112/1.8</f>
        <v>315.89414066872217</v>
      </c>
      <c r="O112">
        <f>M112-'Example 7.3 - Pipe P1'!$C$8</f>
        <v>108.93945320369988</v>
      </c>
      <c r="P112">
        <f>N112-'Example 7.3 - Pipe P1'!$C$9</f>
        <v>42.744140668722196</v>
      </c>
      <c r="Q112">
        <f>Q111</f>
        <v>659.67000000000007</v>
      </c>
      <c r="R112">
        <f>R111</f>
        <v>366.48333333333335</v>
      </c>
      <c r="S112">
        <f>Q112-'Example 7.3 - Pipe P1'!$C$8</f>
        <v>200.00000000000006</v>
      </c>
      <c r="T112">
        <f>R112-'Example 7.3 - Pipe P1'!$C$9</f>
        <v>93.333333333333371</v>
      </c>
      <c r="U112">
        <f>I112/M112/Rg/Z*144</f>
        <v>0.16145855977807877</v>
      </c>
      <c r="V112">
        <f>U112*16.01846</f>
        <v>2.5863174814627636</v>
      </c>
      <c r="W112">
        <f>(Gam*I112/U112*gc*144)^0.5</f>
        <v>1168.9690334366435</v>
      </c>
      <c r="X112">
        <f>W112/3.28</f>
        <v>356.39299799897668</v>
      </c>
      <c r="Y112">
        <f>G112*W112</f>
        <v>1046.0347152490583</v>
      </c>
      <c r="Z112">
        <f>Y112/3.28</f>
        <v>318.9130229417861</v>
      </c>
      <c r="AB112">
        <f>E112/$E$122</f>
        <v>0.99774675389501311</v>
      </c>
      <c r="AC112">
        <f>G112</f>
        <v>0.89483526537382141</v>
      </c>
      <c r="AD112">
        <f>I112/$I$3</f>
        <v>8.6342019995238273E-2</v>
      </c>
      <c r="AE112">
        <f>K112/$K$3</f>
        <v>0.14302297755699392</v>
      </c>
      <c r="AF112">
        <f>M112/$M$3</f>
        <v>0.86571732994603012</v>
      </c>
      <c r="AG112">
        <f>U112/$U$3</f>
        <v>9.9734655884295323E-2</v>
      </c>
      <c r="AH112">
        <f>Y112/$Y$3</f>
        <v>5.6399653160940399</v>
      </c>
    </row>
    <row r="113" spans="1:34" x14ac:dyDescent="0.25">
      <c r="A113" s="38"/>
      <c r="B113" s="42" t="s">
        <v>128</v>
      </c>
      <c r="C113">
        <v>8.7266462599716474E-2</v>
      </c>
      <c r="D113">
        <v>20.833333333333332</v>
      </c>
      <c r="E113">
        <f>(1/Gam*(1/M_4^2-1/G113^2)+(Gam+1)/2/Gam*LN((M_4^2/G113^2)*(1+G113^2*(Gam-1)/2)/(1+M_4^2*(Gam-1)/2)))*D113+125</f>
        <v>149.73374003203767</v>
      </c>
      <c r="F113">
        <f>E113/3.28</f>
        <v>45.650530497572461</v>
      </c>
      <c r="G113">
        <f>G112+0.01</f>
        <v>0.90483526537382142</v>
      </c>
      <c r="H113">
        <f>(Gam/Z/Rg)^0.5*G113*(1+G113^2*(Gam-1)/2)^(-(Gam+1)/2/(Gam-1))</f>
        <v>9.2999414444191533E-2</v>
      </c>
      <c r="I113">
        <f>K113/(1+(Gam-1)/2*G113^2)^(Gam/(Gam-1))</f>
        <v>33.587093306710727</v>
      </c>
      <c r="J113" s="21">
        <f>I113*6.89476</f>
        <v>231.57494744737684</v>
      </c>
      <c r="K113">
        <f>mdot*Q113^0.5/C113/H113/gc^0.5/144</f>
        <v>57.105153622713864</v>
      </c>
      <c r="L113" s="21">
        <f>K113*6.89476</f>
        <v>393.72632899174261</v>
      </c>
      <c r="M113">
        <f>Q113/(1+(Gam-1)/2*G113^2)</f>
        <v>566.85080444512732</v>
      </c>
      <c r="N113">
        <f>M113/1.8</f>
        <v>314.91711358062628</v>
      </c>
      <c r="O113">
        <f>M113-'Example 7.3 - Pipe P1'!$C$8</f>
        <v>107.18080444512731</v>
      </c>
      <c r="P113">
        <f>N113-'Example 7.3 - Pipe P1'!$C$9</f>
        <v>41.767113580626301</v>
      </c>
      <c r="Q113">
        <f>Q112</f>
        <v>659.67000000000007</v>
      </c>
      <c r="R113">
        <f>R112</f>
        <v>366.48333333333335</v>
      </c>
      <c r="S113">
        <f>Q113-'Example 7.3 - Pipe P1'!$C$8</f>
        <v>200.00000000000006</v>
      </c>
      <c r="T113">
        <f>R113-'Example 7.3 - Pipe P1'!$C$9</f>
        <v>93.333333333333371</v>
      </c>
      <c r="U113">
        <f>I113/M113/Rg/Z*144</f>
        <v>0.15992166438502536</v>
      </c>
      <c r="V113">
        <f>U113*16.01846</f>
        <v>2.5616987840849537</v>
      </c>
      <c r="W113">
        <f>(Gam*I113/U113*gc*144)^0.5</f>
        <v>1167.1598848300573</v>
      </c>
      <c r="X113">
        <f>W113/3.28</f>
        <v>355.84142830184675</v>
      </c>
      <c r="Y113">
        <f>G113*W113</f>
        <v>1056.0874241238837</v>
      </c>
      <c r="Z113">
        <f>Y113/3.28</f>
        <v>321.97787320850114</v>
      </c>
      <c r="AB113">
        <f>E113/$E$122</f>
        <v>0.99819287140600077</v>
      </c>
      <c r="AC113">
        <f>G113</f>
        <v>0.90483526537382142</v>
      </c>
      <c r="AD113">
        <f>I113/$I$3</f>
        <v>8.5255640877027319E-2</v>
      </c>
      <c r="AE113">
        <f>K113/$K$3</f>
        <v>0.14276288405678467</v>
      </c>
      <c r="AF113">
        <f>M113/$M$3</f>
        <v>0.86303975802209143</v>
      </c>
      <c r="AG113">
        <f>U113/$U$3</f>
        <v>9.8785299384602634E-2</v>
      </c>
      <c r="AH113">
        <f>Y113/$Y$3</f>
        <v>5.6941670825940225</v>
      </c>
    </row>
    <row r="114" spans="1:34" x14ac:dyDescent="0.25">
      <c r="A114" s="38"/>
      <c r="B114" s="42" t="s">
        <v>128</v>
      </c>
      <c r="C114">
        <v>8.7266462599716474E-2</v>
      </c>
      <c r="D114">
        <v>20.833333333333332</v>
      </c>
      <c r="E114">
        <f>(1/Gam*(1/M_4^2-1/G114^2)+(Gam+1)/2/Gam*LN((M_4^2/G114^2)*(1+G114^2*(Gam-1)/2)/(1+M_4^2*(Gam-1)/2)))*D114+125</f>
        <v>149.7921406025323</v>
      </c>
      <c r="F114">
        <f>E114/3.28</f>
        <v>45.66833554955253</v>
      </c>
      <c r="G114">
        <f>G113+0.01</f>
        <v>0.91483526537382143</v>
      </c>
      <c r="H114">
        <f>(Gam/Z/Rg)^0.5*G114*(1+G114^2*(Gam-1)/2)^(-(Gam+1)/2/(Gam-1))</f>
        <v>9.3150563835403807E-2</v>
      </c>
      <c r="I114">
        <f>K114/(1+(Gam-1)/2*G114^2)^(Gam/(Gam-1))</f>
        <v>33.168132850645911</v>
      </c>
      <c r="J114" s="21">
        <f>I114*6.89476</f>
        <v>228.68631565331938</v>
      </c>
      <c r="K114">
        <f>mdot*Q114^0.5/C114/H114/gc^0.5/144</f>
        <v>57.012492785787444</v>
      </c>
      <c r="L114" s="21">
        <f>K114*6.89476</f>
        <v>393.08745475973581</v>
      </c>
      <c r="M114">
        <f>Q114/(1+(Gam-1)/2*G114^2)</f>
        <v>565.0836377294994</v>
      </c>
      <c r="N114">
        <f>M114/1.8</f>
        <v>313.9353542941663</v>
      </c>
      <c r="O114">
        <f>M114-'Example 7.3 - Pipe P1'!$C$8</f>
        <v>105.41363772949938</v>
      </c>
      <c r="P114">
        <f>N114-'Example 7.3 - Pipe P1'!$C$9</f>
        <v>40.785354294166325</v>
      </c>
      <c r="Q114">
        <f>Q113</f>
        <v>659.67000000000007</v>
      </c>
      <c r="R114">
        <f>R113</f>
        <v>366.48333333333335</v>
      </c>
      <c r="S114">
        <f>Q114-'Example 7.3 - Pipe P1'!$C$8</f>
        <v>200.00000000000006</v>
      </c>
      <c r="T114">
        <f>R114-'Example 7.3 - Pipe P1'!$C$9</f>
        <v>93.333333333333371</v>
      </c>
      <c r="U114">
        <f>I114/M114/Rg/Z*144</f>
        <v>0.15842070424640078</v>
      </c>
      <c r="V114">
        <f>U114*16.01846</f>
        <v>2.5376557141428013</v>
      </c>
      <c r="W114">
        <f>(Gam*I114/U114*gc*144)^0.5</f>
        <v>1165.3391445967591</v>
      </c>
      <c r="X114">
        <f>W114/3.28</f>
        <v>355.28632457218265</v>
      </c>
      <c r="Y114">
        <f>G114*W114</f>
        <v>1066.0933455976781</v>
      </c>
      <c r="Z114">
        <f>Y114/3.28</f>
        <v>325.02845902368239</v>
      </c>
      <c r="AB114">
        <f>E114/$E$122</f>
        <v>0.99858219603745202</v>
      </c>
      <c r="AC114">
        <f>G114</f>
        <v>0.91483526537382143</v>
      </c>
      <c r="AD114">
        <f>I114/$I$3</f>
        <v>8.4192174566984926E-2</v>
      </c>
      <c r="AE114">
        <f>K114/$K$3</f>
        <v>0.1425312319644686</v>
      </c>
      <c r="AF114">
        <f>M114/$M$3</f>
        <v>0.86034921736715997</v>
      </c>
      <c r="AG114">
        <f>U114/$U$3</f>
        <v>9.7858140470714616E-2</v>
      </c>
      <c r="AH114">
        <f>Y114/$Y$3</f>
        <v>5.7481165827827656</v>
      </c>
    </row>
    <row r="115" spans="1:34" x14ac:dyDescent="0.25">
      <c r="A115" s="38"/>
      <c r="B115" s="42" t="s">
        <v>128</v>
      </c>
      <c r="C115">
        <v>8.7266462599716474E-2</v>
      </c>
      <c r="D115">
        <v>20.833333333333332</v>
      </c>
      <c r="E115">
        <f>(1/Gam*(1/M_4^2-1/G115^2)+(Gam+1)/2/Gam*LN((M_4^2/G115^2)*(1+G115^2*(Gam-1)/2)/(1+M_4^2*(Gam-1)/2)))*D115+125</f>
        <v>149.84249555159028</v>
      </c>
      <c r="F115">
        <f>E115/3.28</f>
        <v>45.683687668167771</v>
      </c>
      <c r="G115">
        <f>G114+0.01</f>
        <v>0.92483526537382144</v>
      </c>
      <c r="H115">
        <f>(Gam/Z/Rg)^0.5*G115*(1+G115^2*(Gam-1)/2)^(-(Gam+1)/2/(Gam-1))</f>
        <v>9.328397124105825E-2</v>
      </c>
      <c r="I115">
        <f>K115/(1+(Gam-1)/2*G115^2)^(Gam/(Gam-1))</f>
        <v>32.75791229879605</v>
      </c>
      <c r="J115" s="21">
        <f>I115*6.89476</f>
        <v>225.85794340124704</v>
      </c>
      <c r="K115">
        <f>mdot*Q115^0.5/C115/H115/gc^0.5/144</f>
        <v>56.930957998500247</v>
      </c>
      <c r="L115" s="21">
        <f>K115*6.89476</f>
        <v>392.52529196973956</v>
      </c>
      <c r="M115">
        <f>Q115/(1+(Gam-1)/2*G115^2)</f>
        <v>563.30821355431647</v>
      </c>
      <c r="N115">
        <f>M115/1.8</f>
        <v>312.94900753017583</v>
      </c>
      <c r="O115">
        <f>M115-'Example 7.3 - Pipe P1'!$C$8</f>
        <v>103.63821355431645</v>
      </c>
      <c r="P115">
        <f>N115-'Example 7.3 - Pipe P1'!$C$9</f>
        <v>39.799007530175857</v>
      </c>
      <c r="Q115">
        <f>Q114</f>
        <v>659.67000000000007</v>
      </c>
      <c r="R115">
        <f>R114</f>
        <v>366.48333333333335</v>
      </c>
      <c r="S115">
        <f>Q115-'Example 7.3 - Pipe P1'!$C$8</f>
        <v>200.00000000000006</v>
      </c>
      <c r="T115">
        <f>R115-'Example 7.3 - Pipe P1'!$C$9</f>
        <v>93.333333333333371</v>
      </c>
      <c r="U115">
        <f>I115/M115/Rg/Z*144</f>
        <v>0.15695450289043383</v>
      </c>
      <c r="V115">
        <f>U115*16.01846</f>
        <v>2.5141694263702989</v>
      </c>
      <c r="W115">
        <f>(Gam*I115/U115*gc*144)^0.5</f>
        <v>1163.5070273458987</v>
      </c>
      <c r="X115">
        <f>W115/3.28</f>
        <v>354.72775223960326</v>
      </c>
      <c r="Y115">
        <f>G115*W115</f>
        <v>1076.0523303997504</v>
      </c>
      <c r="Z115">
        <f>Y115/3.28</f>
        <v>328.06473487797268</v>
      </c>
      <c r="AB115">
        <f>E115/$E$122</f>
        <v>0.99891788491544919</v>
      </c>
      <c r="AC115">
        <f>G115</f>
        <v>0.92483526537382144</v>
      </c>
      <c r="AD115">
        <f>I115/$I$3</f>
        <v>8.3150893151843833E-2</v>
      </c>
      <c r="AE115">
        <f>K115/$K$3</f>
        <v>0.14232739499625061</v>
      </c>
      <c r="AF115">
        <f>M115/$M$3</f>
        <v>0.85764610459300361</v>
      </c>
      <c r="AG115">
        <f>U115/$U$3</f>
        <v>9.6952452423605548E-2</v>
      </c>
      <c r="AH115">
        <f>Y115/$Y$3</f>
        <v>5.8018130118289299</v>
      </c>
    </row>
    <row r="116" spans="1:34" x14ac:dyDescent="0.25">
      <c r="A116" s="38"/>
      <c r="B116" s="42" t="s">
        <v>128</v>
      </c>
      <c r="C116">
        <v>8.7266462599716474E-2</v>
      </c>
      <c r="D116">
        <v>20.833333333333332</v>
      </c>
      <c r="E116">
        <f>(1/Gam*(1/M_4^2-1/G116^2)+(Gam+1)/2/Gam*LN((M_4^2/G116^2)*(1+G116^2*(Gam-1)/2)/(1+M_4^2*(Gam-1)/2)))*D116+125</f>
        <v>149.88525103552814</v>
      </c>
      <c r="F116">
        <f>E116/3.28</f>
        <v>45.696722876685413</v>
      </c>
      <c r="G116">
        <f>G115+0.01</f>
        <v>0.93483526537382144</v>
      </c>
      <c r="H116">
        <f>(Gam/Z/Rg)^0.5*G116*(1+G116^2*(Gam-1)/2)^(-(Gam+1)/2/(Gam-1))</f>
        <v>9.3399872867526282E-2</v>
      </c>
      <c r="I116">
        <f>K116/(1+(Gam-1)/2*G116^2)^(Gam/(Gam-1))</f>
        <v>32.356157137953943</v>
      </c>
      <c r="J116" s="21">
        <f>I116*6.89476</f>
        <v>223.08793798847933</v>
      </c>
      <c r="K116">
        <f>mdot*Q116^0.5/C116/H116/gc^0.5/144</f>
        <v>56.86031132173477</v>
      </c>
      <c r="L116" s="21">
        <f>K116*6.89476</f>
        <v>392.03820008864403</v>
      </c>
      <c r="M116">
        <f>Q116/(1+(Gam-1)/2*G116^2)</f>
        <v>561.5247908583176</v>
      </c>
      <c r="N116">
        <f>M116/1.8</f>
        <v>311.95821714350978</v>
      </c>
      <c r="O116">
        <f>M116-'Example 7.3 - Pipe P1'!$C$8</f>
        <v>101.85479085831759</v>
      </c>
      <c r="P116">
        <f>N116-'Example 7.3 - Pipe P1'!$C$9</f>
        <v>38.808217143509808</v>
      </c>
      <c r="Q116">
        <f>Q115</f>
        <v>659.67000000000007</v>
      </c>
      <c r="R116">
        <f>R115</f>
        <v>366.48333333333335</v>
      </c>
      <c r="S116">
        <f>Q116-'Example 7.3 - Pipe P1'!$C$8</f>
        <v>200.00000000000006</v>
      </c>
      <c r="T116">
        <f>R116-'Example 7.3 - Pipe P1'!$C$9</f>
        <v>93.333333333333371</v>
      </c>
      <c r="U116">
        <f>I116/M116/Rg/Z*144</f>
        <v>0.15552193415146018</v>
      </c>
      <c r="V116">
        <f>U116*16.01846</f>
        <v>2.4912218813277991</v>
      </c>
      <c r="W116">
        <f>(Gam*I116/U116*gc*144)^0.5</f>
        <v>1161.6637470896378</v>
      </c>
      <c r="X116">
        <f>W116/3.28</f>
        <v>354.16577655171886</v>
      </c>
      <c r="Y116">
        <f>G116*W116</f>
        <v>1085.9642372856893</v>
      </c>
      <c r="Z116">
        <f>Y116/3.28</f>
        <v>331.08665770905162</v>
      </c>
      <c r="AB116">
        <f>E116/$E$122</f>
        <v>0.99920291231990166</v>
      </c>
      <c r="AC116">
        <f>G116</f>
        <v>0.93483526537382144</v>
      </c>
      <c r="AD116">
        <f>I116/$I$3</f>
        <v>8.2131099822291151E-2</v>
      </c>
      <c r="AE116">
        <f>K116/$K$3</f>
        <v>0.14215077830433692</v>
      </c>
      <c r="AF116">
        <f>M116/$M$3</f>
        <v>0.85493081393815029</v>
      </c>
      <c r="AG116">
        <f>U116/$U$3</f>
        <v>9.6067539598862675E-2</v>
      </c>
      <c r="AH116">
        <f>Y116/$Y$3</f>
        <v>5.855255608176928</v>
      </c>
    </row>
    <row r="117" spans="1:34" x14ac:dyDescent="0.25">
      <c r="A117" s="38"/>
      <c r="B117" s="42" t="s">
        <v>128</v>
      </c>
      <c r="C117">
        <v>8.7266462599716474E-2</v>
      </c>
      <c r="D117">
        <v>20.833333333333332</v>
      </c>
      <c r="E117">
        <f>(1/Gam*(1/M_4^2-1/G117^2)+(Gam+1)/2/Gam*LN((M_4^2/G117^2)*(1+G117^2*(Gam-1)/2)/(1+M_4^2*(Gam-1)/2)))*D117+125</f>
        <v>149.92082757926889</v>
      </c>
      <c r="F117">
        <f>E117/3.28</f>
        <v>45.707569383923442</v>
      </c>
      <c r="G117">
        <f>G116+0.01</f>
        <v>0.94483526537382145</v>
      </c>
      <c r="H117">
        <f>(Gam/Z/Rg)^0.5*G117*(1+G117^2*(Gam-1)/2)^(-(Gam+1)/2/(Gam-1))</f>
        <v>9.3498508778282918E-2</v>
      </c>
      <c r="I117">
        <f>K117/(1+(Gam-1)/2*G117^2)^(Gam/(Gam-1))</f>
        <v>31.962604458721529</v>
      </c>
      <c r="J117" s="21">
        <f>I117*6.89476</f>
        <v>220.37448671781485</v>
      </c>
      <c r="K117">
        <f>mdot*Q117^0.5/C117/H117/gc^0.5/144</f>
        <v>56.80032674373016</v>
      </c>
      <c r="L117" s="21">
        <f>K117*6.89476</f>
        <v>391.62462081960092</v>
      </c>
      <c r="M117">
        <f>Q117/(1+(Gam-1)/2*G117^2)</f>
        <v>559.73362695792844</v>
      </c>
      <c r="N117">
        <f>M117/1.8</f>
        <v>310.96312608773803</v>
      </c>
      <c r="O117">
        <f>M117-'Example 7.3 - Pipe P1'!$C$8</f>
        <v>100.06362695792842</v>
      </c>
      <c r="P117">
        <f>N117-'Example 7.3 - Pipe P1'!$C$9</f>
        <v>37.813126087738056</v>
      </c>
      <c r="Q117">
        <f>Q116</f>
        <v>659.67000000000007</v>
      </c>
      <c r="R117">
        <f>R116</f>
        <v>366.48333333333335</v>
      </c>
      <c r="S117">
        <f>Q117-'Example 7.3 - Pipe P1'!$C$8</f>
        <v>200.00000000000006</v>
      </c>
      <c r="T117">
        <f>R117-'Example 7.3 - Pipe P1'!$C$9</f>
        <v>93.333333333333371</v>
      </c>
      <c r="U117">
        <f>I117/M117/Rg/Z*144</f>
        <v>0.15412191950956028</v>
      </c>
      <c r="V117">
        <f>U117*16.01846</f>
        <v>2.4687958027871111</v>
      </c>
      <c r="W117">
        <f>(Gam*I117/U117*gc*144)^0.5</f>
        <v>1159.8095171933905</v>
      </c>
      <c r="X117">
        <f>W117/3.28</f>
        <v>353.60046255896054</v>
      </c>
      <c r="Y117">
        <f>G117*W117</f>
        <v>1095.8289329605009</v>
      </c>
      <c r="Z117">
        <f>Y117/3.28</f>
        <v>334.09418687820153</v>
      </c>
      <c r="AB117">
        <f>E117/$E$122</f>
        <v>0.99944008166025</v>
      </c>
      <c r="AC117">
        <f>G117</f>
        <v>0.94483526537382145</v>
      </c>
      <c r="AD117">
        <f>I117/$I$3</f>
        <v>8.1132127223488532E-2</v>
      </c>
      <c r="AE117">
        <f>K117/$K$3</f>
        <v>0.14200081685932539</v>
      </c>
      <c r="AF117">
        <f>M117/$M$3</f>
        <v>0.85220373717112874</v>
      </c>
      <c r="AG117">
        <f>U117/$U$3</f>
        <v>9.5202735783352491E-2</v>
      </c>
      <c r="AH117">
        <f>Y117/$Y$3</f>
        <v>5.9084436531325046</v>
      </c>
    </row>
    <row r="118" spans="1:34" x14ac:dyDescent="0.25">
      <c r="A118" s="38"/>
      <c r="B118" s="42" t="s">
        <v>128</v>
      </c>
      <c r="C118">
        <v>8.7266462599716474E-2</v>
      </c>
      <c r="D118">
        <v>20.833333333333332</v>
      </c>
      <c r="E118">
        <f>(1/Gam*(1/M_4^2-1/G118^2)+(Gam+1)/2/Gam*LN((M_4^2/G118^2)*(1+G118^2*(Gam-1)/2)/(1+M_4^2*(Gam-1)/2)))*D118+125</f>
        <v>149.94962173916795</v>
      </c>
      <c r="F118">
        <f>E118/3.28</f>
        <v>45.716348091209746</v>
      </c>
      <c r="G118">
        <f>G117+0.01</f>
        <v>0.95483526537382146</v>
      </c>
      <c r="H118">
        <f>(Gam/Z/Rg)^0.5*G118*(1+G118^2*(Gam-1)/2)^(-(Gam+1)/2/(Gam-1))</f>
        <v>9.3580122647331204E-2</v>
      </c>
      <c r="I118">
        <f>K118/(1+(Gam-1)/2*G118^2)^(Gam/(Gam-1))</f>
        <v>31.577002346549644</v>
      </c>
      <c r="J118" s="21">
        <f>I118*6.89476</f>
        <v>217.71585269889661</v>
      </c>
      <c r="K118">
        <f>mdot*Q118^0.5/C118/H118/gc^0.5/144</f>
        <v>56.75078957389514</v>
      </c>
      <c r="L118" s="21">
        <f>K118*6.89476</f>
        <v>391.28307392250923</v>
      </c>
      <c r="M118">
        <f>Q118/(1+(Gam-1)/2*G118^2)</f>
        <v>557.93497748572486</v>
      </c>
      <c r="N118">
        <f>M118/1.8</f>
        <v>309.96387638095825</v>
      </c>
      <c r="O118">
        <f>M118-'Example 7.3 - Pipe P1'!$C$8</f>
        <v>98.264977485724842</v>
      </c>
      <c r="P118">
        <f>N118-'Example 7.3 - Pipe P1'!$C$9</f>
        <v>36.813876380958277</v>
      </c>
      <c r="Q118">
        <f>Q117</f>
        <v>659.67000000000007</v>
      </c>
      <c r="R118">
        <f>R117</f>
        <v>366.48333333333335</v>
      </c>
      <c r="S118">
        <f>Q118-'Example 7.3 - Pipe P1'!$C$8</f>
        <v>200.00000000000006</v>
      </c>
      <c r="T118">
        <f>R118-'Example 7.3 - Pipe P1'!$C$9</f>
        <v>93.333333333333371</v>
      </c>
      <c r="U118">
        <f>I118/M118/Rg/Z*144</f>
        <v>0.15275342559735283</v>
      </c>
      <c r="V118">
        <f>U118*16.01846</f>
        <v>2.4468746377941728</v>
      </c>
      <c r="W118">
        <f>(Gam*I118/U118*gc*144)^0.5</f>
        <v>1157.9445503271909</v>
      </c>
      <c r="X118">
        <f>W118/3.28</f>
        <v>353.03187509975334</v>
      </c>
      <c r="Y118">
        <f>G118*W118</f>
        <v>1105.6462919998337</v>
      </c>
      <c r="Z118">
        <f>Y118/3.28</f>
        <v>337.08728414629076</v>
      </c>
      <c r="AB118">
        <f>E118/$E$122</f>
        <v>0.99963203656061661</v>
      </c>
      <c r="AC118">
        <f>G118</f>
        <v>0.95483526537382146</v>
      </c>
      <c r="AD118">
        <f>I118/$I$3</f>
        <v>8.0153335909320805E-2</v>
      </c>
      <c r="AE118">
        <f>K118/$K$3</f>
        <v>0.14187697393473786</v>
      </c>
      <c r="AF118">
        <f>M118/$M$3</f>
        <v>0.84946526349677864</v>
      </c>
      <c r="AG118">
        <f>U118/$U$3</f>
        <v>9.4357402655140768E-2</v>
      </c>
      <c r="AH118">
        <f>Y118/$Y$3</f>
        <v>5.9613764704379957</v>
      </c>
    </row>
    <row r="119" spans="1:34" x14ac:dyDescent="0.25">
      <c r="A119" s="38"/>
      <c r="B119" s="42" t="s">
        <v>128</v>
      </c>
      <c r="C119">
        <v>8.7266462599716474E-2</v>
      </c>
      <c r="D119">
        <v>20.833333333333332</v>
      </c>
      <c r="E119">
        <f>(1/Gam*(1/M_4^2-1/G119^2)+(Gam+1)/2/Gam*LN((M_4^2/G119^2)*(1+G119^2*(Gam-1)/2)/(1+M_4^2*(Gam-1)/2)))*D119+125</f>
        <v>149.97200764340533</v>
      </c>
      <c r="F119">
        <f>E119/3.28</f>
        <v>45.723173062013821</v>
      </c>
      <c r="G119">
        <f>G118+0.01</f>
        <v>0.96483526537382147</v>
      </c>
      <c r="H119">
        <f>(Gam/Z/Rg)^0.5*G119*(1+G119^2*(Gam-1)/2)^(-(Gam+1)/2/(Gam-1))</f>
        <v>9.3644961515548519E-2</v>
      </c>
      <c r="I119">
        <f>K119/(1+(Gam-1)/2*G119^2)^(Gam/(Gam-1))</f>
        <v>31.199109310677748</v>
      </c>
      <c r="J119" s="21">
        <f>I119*6.89476</f>
        <v>215.11037091088852</v>
      </c>
      <c r="K119">
        <f>mdot*Q119^0.5/C119/H119/gc^0.5/144</f>
        <v>56.711495874513361</v>
      </c>
      <c r="L119" s="21">
        <f>K119*6.89476</f>
        <v>391.01215329575973</v>
      </c>
      <c r="M119">
        <f>Q119/(1+(Gam-1)/2*G119^2)</f>
        <v>556.12909633091238</v>
      </c>
      <c r="N119">
        <f>M119/1.8</f>
        <v>308.96060907272908</v>
      </c>
      <c r="O119">
        <f>M119-'Example 7.3 - Pipe P1'!$C$8</f>
        <v>96.459096330912359</v>
      </c>
      <c r="P119">
        <f>N119-'Example 7.3 - Pipe P1'!$C$9</f>
        <v>35.810609072729108</v>
      </c>
      <c r="Q119">
        <f>Q118</f>
        <v>659.67000000000007</v>
      </c>
      <c r="R119">
        <f>R118</f>
        <v>366.48333333333335</v>
      </c>
      <c r="S119">
        <f>Q119-'Example 7.3 - Pipe P1'!$C$8</f>
        <v>200.00000000000006</v>
      </c>
      <c r="T119">
        <f>R119-'Example 7.3 - Pipe P1'!$C$9</f>
        <v>93.333333333333371</v>
      </c>
      <c r="U119">
        <f>I119/M119/Rg/Z*144</f>
        <v>0.15141546186181493</v>
      </c>
      <c r="V119">
        <f>U119*16.01846</f>
        <v>2.4254425192150082</v>
      </c>
      <c r="W119">
        <f>(Gam*I119/U119*gc*144)^0.5</f>
        <v>1156.0690584181982</v>
      </c>
      <c r="X119">
        <f>W119/3.28</f>
        <v>352.46007878603604</v>
      </c>
      <c r="Y119">
        <f>G119*W119</f>
        <v>1115.4161967693863</v>
      </c>
      <c r="Z119">
        <f>Y119/3.28</f>
        <v>340.06591364920314</v>
      </c>
      <c r="AB119">
        <f>E119/$E$122</f>
        <v>0.99978127112875703</v>
      </c>
      <c r="AC119">
        <f>G119</f>
        <v>0.96483526537382147</v>
      </c>
      <c r="AD119">
        <f>I119/$I$3</f>
        <v>7.9194112892847793E-2</v>
      </c>
      <c r="AE119">
        <f>K119/$K$3</f>
        <v>0.14177873968628341</v>
      </c>
      <c r="AF119">
        <f>M119/$M$3</f>
        <v>0.84671577946562937</v>
      </c>
      <c r="AG119">
        <f>U119/$U$3</f>
        <v>9.3530928339174174E-2</v>
      </c>
      <c r="AH119">
        <f>Y119/$Y$3</f>
        <v>6.0140534258377967</v>
      </c>
    </row>
    <row r="120" spans="1:34" x14ac:dyDescent="0.25">
      <c r="A120" s="38"/>
      <c r="B120" s="42" t="s">
        <v>128</v>
      </c>
      <c r="C120">
        <v>8.7266462599716474E-2</v>
      </c>
      <c r="D120">
        <v>20.833333333333332</v>
      </c>
      <c r="E120">
        <f>(1/Gam*(1/M_4^2-1/G120^2)+(Gam+1)/2/Gam*LN((M_4^2/G120^2)*(1+G120^2*(Gam-1)/2)/(1+M_4^2*(Gam-1)/2)))*D120+125</f>
        <v>149.98833842006511</v>
      </c>
      <c r="F120">
        <f>E120/3.28</f>
        <v>45.728151957336927</v>
      </c>
      <c r="G120">
        <f>G119+0.01</f>
        <v>0.97483526537382148</v>
      </c>
      <c r="H120">
        <f>(Gam/Z/Rg)^0.5*G120*(1+G120^2*(Gam-1)/2)^(-(Gam+1)/2/(Gam-1))</f>
        <v>9.3693275550157537E-2</v>
      </c>
      <c r="I120">
        <f>K120/(1+(Gam-1)/2*G120^2)^(Gam/(Gam-1))</f>
        <v>30.828693748252221</v>
      </c>
      <c r="J120" s="21">
        <f>I120*6.89476</f>
        <v>212.55644450769947</v>
      </c>
      <c r="K120">
        <f>mdot*Q120^0.5/C120/H120/gc^0.5/144</f>
        <v>56.682251927620456</v>
      </c>
      <c r="L120" s="21">
        <f>K120*6.89476</f>
        <v>390.81052330048038</v>
      </c>
      <c r="M120">
        <f>Q120/(1+(Gam-1)/2*G120^2)</f>
        <v>554.31623558181866</v>
      </c>
      <c r="N120">
        <f>M120/1.8</f>
        <v>307.95346421212145</v>
      </c>
      <c r="O120">
        <f>M120-'Example 7.3 - Pipe P1'!$C$8</f>
        <v>94.646235581818644</v>
      </c>
      <c r="P120">
        <f>N120-'Example 7.3 - Pipe P1'!$C$9</f>
        <v>34.803464212121469</v>
      </c>
      <c r="Q120">
        <f>Q119</f>
        <v>659.67000000000007</v>
      </c>
      <c r="R120">
        <f>R119</f>
        <v>366.48333333333335</v>
      </c>
      <c r="S120">
        <f>Q120-'Example 7.3 - Pipe P1'!$C$8</f>
        <v>200.00000000000006</v>
      </c>
      <c r="T120">
        <f>R120-'Example 7.3 - Pipe P1'!$C$9</f>
        <v>93.333333333333371</v>
      </c>
      <c r="U120">
        <f>I120/M120/Rg/Z*144</f>
        <v>0.15010707836999607</v>
      </c>
      <c r="V120">
        <f>U120*16.01846</f>
        <v>2.4044842305866472</v>
      </c>
      <c r="W120">
        <f>(Gam*I120/U120*gc*144)^0.5</f>
        <v>1154.1832526043495</v>
      </c>
      <c r="X120">
        <f>W120/3.28</f>
        <v>351.88513798913095</v>
      </c>
      <c r="Y120">
        <f>G120*W120</f>
        <v>1125.1385373425815</v>
      </c>
      <c r="Z120">
        <f>Y120/3.28</f>
        <v>343.03004187273825</v>
      </c>
      <c r="AB120">
        <f>E120/$E$122</f>
        <v>0.99989013947628391</v>
      </c>
      <c r="AC120">
        <f>G120</f>
        <v>0.97483526537382148</v>
      </c>
      <c r="AD120">
        <f>I120/$I$3</f>
        <v>7.8253870286051463E-2</v>
      </c>
      <c r="AE120">
        <f>K120/$K$3</f>
        <v>0.14170562981905113</v>
      </c>
      <c r="AF120">
        <f>M120/$M$3</f>
        <v>0.84395566888634366</v>
      </c>
      <c r="AG120">
        <f>U120/$U$3</f>
        <v>9.2722726051846671E-2</v>
      </c>
      <c r="AH120">
        <f>Y120/$Y$3</f>
        <v>6.0664739266344831</v>
      </c>
    </row>
    <row r="121" spans="1:34" x14ac:dyDescent="0.25">
      <c r="A121" s="38"/>
      <c r="B121" s="42" t="s">
        <v>128</v>
      </c>
      <c r="C121">
        <v>8.7266462599716474E-2</v>
      </c>
      <c r="D121">
        <v>20.833333333333332</v>
      </c>
      <c r="E121">
        <f>(1/Gam*(1/M_4^2-1/G121^2)+(Gam+1)/2/Gam*LN((M_4^2/G121^2)*(1+G121^2*(Gam-1)/2)/(1+M_4^2*(Gam-1)/2)))*D121+125</f>
        <v>149.99894752209565</v>
      </c>
      <c r="F121">
        <f>E121/3.28</f>
        <v>45.731386439663311</v>
      </c>
      <c r="G121">
        <f>G120+0.01</f>
        <v>0.98483526537382149</v>
      </c>
      <c r="H121">
        <f>(Gam/Z/Rg)^0.5*G121*(1+G121^2*(Gam-1)/2)^(-(Gam+1)/2/(Gam-1))</f>
        <v>9.3725317807513864E-2</v>
      </c>
      <c r="I121">
        <f>K121/(1+(Gam-1)/2*G121^2)^(Gam/(Gam-1))</f>
        <v>30.465533441123124</v>
      </c>
      <c r="J121" s="21">
        <f>I121*6.89476</f>
        <v>210.05254134851808</v>
      </c>
      <c r="K121">
        <f>mdot*Q121^0.5/C121/H121/gc^0.5/144</f>
        <v>56.662873734552811</v>
      </c>
      <c r="L121" s="21">
        <f>K121*6.89476</f>
        <v>390.67691531004533</v>
      </c>
      <c r="M121">
        <f>Q121/(1+(Gam-1)/2*G121^2)</f>
        <v>552.4966454703947</v>
      </c>
      <c r="N121">
        <f>M121/1.8</f>
        <v>306.94258081688594</v>
      </c>
      <c r="O121">
        <f>M121-'Example 7.3 - Pipe P1'!$C$8</f>
        <v>92.826645470394681</v>
      </c>
      <c r="P121">
        <f>N121-'Example 7.3 - Pipe P1'!$C$9</f>
        <v>33.792580816885959</v>
      </c>
      <c r="Q121">
        <f>Q120</f>
        <v>659.67000000000007</v>
      </c>
      <c r="R121">
        <f>R120</f>
        <v>366.48333333333335</v>
      </c>
      <c r="S121">
        <f>Q121-'Example 7.3 - Pipe P1'!$C$8</f>
        <v>200.00000000000006</v>
      </c>
      <c r="T121">
        <f>R121-'Example 7.3 - Pipe P1'!$C$9</f>
        <v>93.333333333333371</v>
      </c>
      <c r="U121">
        <f>I121/M121/Rg/Z*144</f>
        <v>0.14882736374839986</v>
      </c>
      <c r="V121">
        <f>U121*16.01846</f>
        <v>2.3839851731091932</v>
      </c>
      <c r="W121">
        <f>(Gam*I121/U121*gc*144)^0.5</f>
        <v>1152.2873431891512</v>
      </c>
      <c r="X121">
        <f>W121/3.28</f>
        <v>351.30711682596075</v>
      </c>
      <c r="Y121">
        <f>G121*W121</f>
        <v>1134.8132114165835</v>
      </c>
      <c r="Z121">
        <f>Y121/3.28</f>
        <v>345.97963762700721</v>
      </c>
      <c r="AB121">
        <f>E121/$E$122</f>
        <v>0.99996086455145161</v>
      </c>
      <c r="AC121">
        <f>G121</f>
        <v>0.98483526537382149</v>
      </c>
      <c r="AD121">
        <f>I121/$I$3</f>
        <v>7.7332044022532465E-2</v>
      </c>
      <c r="AE121">
        <f>K121/$K$3</f>
        <v>0.14165718433638202</v>
      </c>
      <c r="AF121">
        <f>M121/$M$3</f>
        <v>0.84118531274122021</v>
      </c>
      <c r="AG121">
        <f>U121/$U$3</f>
        <v>9.1932232828133884E-2</v>
      </c>
      <c r="AH121">
        <f>Y121/$Y$3</f>
        <v>6.1186374212359924</v>
      </c>
    </row>
    <row r="122" spans="1:34" x14ac:dyDescent="0.25">
      <c r="A122" s="38"/>
      <c r="B122" s="42" t="s">
        <v>128</v>
      </c>
      <c r="C122">
        <v>8.7266462599716474E-2</v>
      </c>
      <c r="D122">
        <v>20.833333333333332</v>
      </c>
      <c r="E122">
        <f>(1/Gam*(1/M_4^2-1/G122^2)+(Gam+1)/2/Gam*LN((M_4^2/G122^2)*(1+G122^2*(Gam-1)/2)/(1+M_4^2*(Gam-1)/2)))*D122+125</f>
        <v>150.0048180279336</v>
      </c>
      <c r="F122">
        <f>E122/3.28</f>
        <v>45.73317622802854</v>
      </c>
      <c r="G122">
        <v>1</v>
      </c>
      <c r="H122">
        <f>(Gam/Z/Rg)^0.5*G122*(1+G122^2*(Gam-1)/2)^(-(Gam+1)/2/(Gam-1))</f>
        <v>9.3743433770267531E-2</v>
      </c>
      <c r="I122">
        <f>K122/(1+(Gam-1)/2*G122^2)^(Gam/(Gam-1))</f>
        <v>29.928179480987222</v>
      </c>
      <c r="J122" s="21">
        <f>I122*6.89476</f>
        <v>206.34761475833145</v>
      </c>
      <c r="K122">
        <f>mdot*Q122^0.5/C122/H122/gc^0.5/144</f>
        <v>56.651923607500649</v>
      </c>
      <c r="L122" s="21">
        <f>K122*6.89476</f>
        <v>390.60141681205118</v>
      </c>
      <c r="M122">
        <f>Q122/(1+(Gam-1)/2*G122^2)</f>
        <v>549.72500000000014</v>
      </c>
      <c r="N122">
        <f>M122/1.8</f>
        <v>305.40277777777783</v>
      </c>
      <c r="O122">
        <f>M122-'Example 7.3 - Pipe P1'!$C$8</f>
        <v>90.055000000000121</v>
      </c>
      <c r="P122">
        <f>N122-'Example 7.3 - Pipe P1'!$C$9</f>
        <v>32.252777777777851</v>
      </c>
      <c r="Q122">
        <f>Q121</f>
        <v>659.67000000000007</v>
      </c>
      <c r="R122">
        <f>R121</f>
        <v>366.48333333333335</v>
      </c>
      <c r="S122">
        <f>Q122-'Example 7.3 - Pipe P1'!$C$8</f>
        <v>200.00000000000006</v>
      </c>
      <c r="T122">
        <f>R122-'Example 7.3 - Pipe P1'!$C$9</f>
        <v>93.333333333333371</v>
      </c>
      <c r="U122">
        <f>I122/M122/Rg/Z*144</f>
        <v>0.14693946671272562</v>
      </c>
      <c r="V122">
        <f>U122*16.01846</f>
        <v>2.3537439699591269</v>
      </c>
      <c r="W122">
        <f>(Gam*I122/U122*gc*144)^0.5</f>
        <v>1149.3934364970639</v>
      </c>
      <c r="X122">
        <f>W122/3.28</f>
        <v>350.42482820032438</v>
      </c>
      <c r="Y122">
        <f>G122*W122</f>
        <v>1149.3934364970639</v>
      </c>
      <c r="Z122">
        <f>Y122/3.28</f>
        <v>350.42482820032438</v>
      </c>
      <c r="AB122">
        <f>E122/$E$122</f>
        <v>1</v>
      </c>
      <c r="AC122">
        <f>G122</f>
        <v>1</v>
      </c>
      <c r="AD122">
        <f>I122/$I$3</f>
        <v>7.5968054116325207E-2</v>
      </c>
      <c r="AE122">
        <f>K122/$K$3</f>
        <v>0.14162980901875163</v>
      </c>
      <c r="AF122">
        <f>M122/$M$3</f>
        <v>0.83696543651041233</v>
      </c>
      <c r="AG122">
        <f>U122/$U$3</f>
        <v>9.0766058910462674E-2</v>
      </c>
      <c r="AH122">
        <f>Y122/$Y$3</f>
        <v>6.1972504563064152</v>
      </c>
    </row>
    <row r="123" spans="1:34" x14ac:dyDescent="0.25">
      <c r="A123" s="38"/>
      <c r="B123" s="43" t="s">
        <v>131</v>
      </c>
      <c r="C123" s="34"/>
      <c r="D123" s="34"/>
      <c r="E123" s="34"/>
      <c r="F123" s="34"/>
    </row>
    <row r="124" spans="1:34" x14ac:dyDescent="0.25">
      <c r="A124" s="41" t="s">
        <v>132</v>
      </c>
      <c r="B124" s="38"/>
      <c r="C124" s="38"/>
      <c r="D124" s="38"/>
      <c r="E124" s="3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33</vt:i4>
      </vt:variant>
    </vt:vector>
  </HeadingPairs>
  <TitlesOfParts>
    <vt:vector size="35" baseType="lpstr">
      <vt:lpstr>Example 7.3 - Pipe P1</vt:lpstr>
      <vt:lpstr>Graph Data</vt:lpstr>
      <vt:lpstr>A</vt:lpstr>
      <vt:lpstr>c_1</vt:lpstr>
      <vt:lpstr>c_2</vt:lpstr>
      <vt:lpstr>CdA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M_3</vt:lpstr>
      <vt:lpstr>M_4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2024-04-22T23:36:16Z</dcterms:modified>
</cp:coreProperties>
</file>